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160" windowHeight="11025" tabRatio="850" activeTab="2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  <sheet name="Principal Recon" sheetId="82" r:id="rId13"/>
  </sheets>
  <definedNames>
    <definedName name="_xlnm._FilterDatabase" localSheetId="2" hidden="1">'Data Entry'!$B$6:$J$30</definedName>
    <definedName name="Accounts">'Chart of Accounts'!$B$4:$C$19</definedName>
    <definedName name="BankAccounts">'Bank Accounts'!$B$8:$O$21</definedName>
    <definedName name="BegPrincipal">'Top Level'!#REF!</definedName>
    <definedName name="Chart">'Chart of Accounts'!$B$4:$D$17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Entry'!$3:$6</definedName>
    <definedName name="Reserve">'Top Level'!$E$8</definedName>
    <definedName name="rptbanknum">OFFSET('Data Entry'!$D$7,0,0,COUNT('Data Entry'!$D:$D),1)</definedName>
    <definedName name="RptMonths">OFFSET('Data Entry'!$C$7,0,0,COUNT('Data Entry'!$C:$C),1)</definedName>
    <definedName name="SumAccount">'Data Entry'!$F$7:$F$31</definedName>
    <definedName name="SumBank">'Data Entry'!$D$7:$D$31</definedName>
    <definedName name="SumExp">'Data Entry'!$I$7:$I$31</definedName>
    <definedName name="SumMonth">'Data Entry'!$B$7:$B$31</definedName>
    <definedName name="SumMonthNum">'Data Entry'!$C$7:$C$31</definedName>
    <definedName name="SumRevenue">'Data Entry'!$H$7:$H$31</definedName>
  </definedNames>
  <calcPr calcId="145621"/>
</workbook>
</file>

<file path=xl/calcChain.xml><?xml version="1.0" encoding="utf-8"?>
<calcChain xmlns="http://schemas.openxmlformats.org/spreadsheetml/2006/main">
  <c r="H32" i="47" l="1"/>
  <c r="I32" i="47"/>
  <c r="G16" i="47" l="1"/>
  <c r="E16" i="47"/>
  <c r="G15" i="47"/>
  <c r="E15" i="47"/>
  <c r="G14" i="47"/>
  <c r="E14" i="47"/>
  <c r="H26" i="2"/>
  <c r="H30" i="2" s="1"/>
  <c r="F26" i="2"/>
  <c r="C26" i="2"/>
  <c r="A3" i="2" l="1"/>
  <c r="B3" i="47"/>
  <c r="C26" i="51"/>
  <c r="G24" i="47" l="1"/>
  <c r="E24" i="47"/>
  <c r="E21" i="47" l="1"/>
  <c r="G13" i="47" l="1"/>
  <c r="E13" i="47"/>
  <c r="D16" i="82"/>
  <c r="H17" i="82"/>
  <c r="I7" i="82"/>
  <c r="G8" i="82" s="1"/>
  <c r="I8" i="82" s="1"/>
  <c r="G9" i="82" s="1"/>
  <c r="I9" i="82" s="1"/>
  <c r="G10" i="82" s="1"/>
  <c r="I10" i="82" s="1"/>
  <c r="G11" i="82" s="1"/>
  <c r="I11" i="82" s="1"/>
  <c r="G12" i="82" s="1"/>
  <c r="I12" i="82" s="1"/>
  <c r="G13" i="82" s="1"/>
  <c r="I13" i="82" s="1"/>
  <c r="G14" i="82" s="1"/>
  <c r="I14" i="82" s="1"/>
  <c r="G15" i="82" s="1"/>
  <c r="I15" i="82" s="1"/>
  <c r="G16" i="82" s="1"/>
  <c r="I16" i="82" s="1"/>
  <c r="E7" i="82"/>
  <c r="C8" i="82" s="1"/>
  <c r="E8" i="82" s="1"/>
  <c r="C9" i="82" s="1"/>
  <c r="E9" i="82" s="1"/>
  <c r="C10" i="82" s="1"/>
  <c r="E10" i="82" s="1"/>
  <c r="C11" i="82" s="1"/>
  <c r="E11" i="82" s="1"/>
  <c r="C12" i="82" s="1"/>
  <c r="E12" i="82" s="1"/>
  <c r="C13" i="82" s="1"/>
  <c r="E13" i="82" s="1"/>
  <c r="C14" i="82" s="1"/>
  <c r="E14" i="82" s="1"/>
  <c r="C15" i="82" s="1"/>
  <c r="E15" i="82" s="1"/>
  <c r="C16" i="82" s="1"/>
  <c r="E16" i="82" s="1"/>
  <c r="C17" i="82" s="1"/>
  <c r="G18" i="47"/>
  <c r="E18" i="47"/>
  <c r="G8" i="47"/>
  <c r="E8" i="47"/>
  <c r="E7" i="47"/>
  <c r="G7" i="47"/>
  <c r="G9" i="47"/>
  <c r="E9" i="47"/>
  <c r="G10" i="47"/>
  <c r="E10" i="47"/>
  <c r="G12" i="47"/>
  <c r="E12" i="47"/>
  <c r="G11" i="47"/>
  <c r="E11" i="47"/>
  <c r="E26" i="2"/>
  <c r="E30" i="2" s="1"/>
  <c r="C25" i="51"/>
  <c r="C17" i="51"/>
  <c r="F16" i="51"/>
  <c r="F17" i="51" s="1"/>
  <c r="H16" i="51"/>
  <c r="H17" i="51" s="1"/>
  <c r="H18" i="51" s="1"/>
  <c r="J16" i="51"/>
  <c r="N7" i="2"/>
  <c r="M7" i="2"/>
  <c r="C31" i="51"/>
  <c r="A3" i="51"/>
  <c r="C39" i="51"/>
  <c r="C32" i="51"/>
  <c r="C30" i="51"/>
  <c r="K23" i="51"/>
  <c r="C24" i="51"/>
  <c r="C30" i="47"/>
  <c r="I7" i="36"/>
  <c r="A20" i="2" s="1"/>
  <c r="N20" i="2" s="1"/>
  <c r="H7" i="36"/>
  <c r="A19" i="2" s="1"/>
  <c r="N19" i="2" s="1"/>
  <c r="G7" i="36"/>
  <c r="A18" i="2" s="1"/>
  <c r="N18" i="2" s="1"/>
  <c r="I6" i="36"/>
  <c r="A17" i="2" s="1"/>
  <c r="N17" i="2" s="1"/>
  <c r="H6" i="36"/>
  <c r="A16" i="2" s="1"/>
  <c r="N16" i="2" s="1"/>
  <c r="G6" i="36"/>
  <c r="A15" i="2" s="1"/>
  <c r="N15" i="2" s="1"/>
  <c r="I5" i="36"/>
  <c r="A14" i="2" s="1"/>
  <c r="N14" i="2" s="1"/>
  <c r="H5" i="36"/>
  <c r="A13" i="2" s="1"/>
  <c r="N13" i="2" s="1"/>
  <c r="G5" i="36"/>
  <c r="A12" i="2" s="1"/>
  <c r="N12" i="2" s="1"/>
  <c r="I4" i="36"/>
  <c r="A11" i="2" s="1"/>
  <c r="N11" i="2" s="1"/>
  <c r="H4" i="36"/>
  <c r="A10" i="2" s="1"/>
  <c r="N10" i="2" s="1"/>
  <c r="G4" i="36"/>
  <c r="A9" i="2" s="1"/>
  <c r="M9" i="2" s="1"/>
  <c r="I6" i="2"/>
  <c r="F6" i="2"/>
  <c r="C6" i="2"/>
  <c r="J16" i="82" l="1"/>
  <c r="J14" i="82"/>
  <c r="J12" i="82"/>
  <c r="J10" i="82"/>
  <c r="J8" i="82"/>
  <c r="J7" i="82"/>
  <c r="J15" i="82"/>
  <c r="J13" i="82"/>
  <c r="J11" i="82"/>
  <c r="J9" i="82"/>
  <c r="G17" i="82"/>
  <c r="I17" i="82" s="1"/>
  <c r="G18" i="82" s="1"/>
  <c r="I18" i="82" s="1"/>
  <c r="E17" i="82"/>
  <c r="K6" i="51"/>
  <c r="M20" i="2"/>
  <c r="M18" i="2"/>
  <c r="M16" i="2"/>
  <c r="M14" i="2"/>
  <c r="M12" i="2"/>
  <c r="M10" i="2"/>
  <c r="N9" i="2"/>
  <c r="M19" i="2"/>
  <c r="M17" i="2"/>
  <c r="M15" i="2"/>
  <c r="M13" i="2"/>
  <c r="M11" i="2"/>
  <c r="J17" i="51"/>
  <c r="J18" i="51" s="1"/>
  <c r="F18" i="51"/>
  <c r="G6" i="51"/>
  <c r="I6" i="51"/>
  <c r="E23" i="51"/>
  <c r="C9" i="2"/>
  <c r="K11" i="51"/>
  <c r="I11" i="51"/>
  <c r="I23" i="51"/>
  <c r="I26" i="51" s="1"/>
  <c r="G11" i="51"/>
  <c r="G23" i="51"/>
  <c r="G26" i="51" s="1"/>
  <c r="C6" i="40"/>
  <c r="E25" i="51" l="1"/>
  <c r="E30" i="51"/>
  <c r="E26" i="51"/>
  <c r="C18" i="82"/>
  <c r="E18" i="82" s="1"/>
  <c r="J17" i="82"/>
  <c r="G24" i="51"/>
  <c r="G25" i="51"/>
  <c r="I39" i="51"/>
  <c r="I25" i="51"/>
  <c r="I24" i="51"/>
  <c r="M21" i="2"/>
  <c r="G32" i="51"/>
  <c r="E32" i="51"/>
  <c r="E31" i="51"/>
  <c r="G30" i="51"/>
  <c r="G31" i="51"/>
  <c r="I30" i="51"/>
  <c r="I31" i="51"/>
  <c r="E39" i="51"/>
  <c r="E24" i="51"/>
  <c r="G39" i="51"/>
  <c r="N21" i="2"/>
  <c r="I32" i="51"/>
  <c r="C19" i="82" l="1"/>
  <c r="E19" i="82" s="1"/>
  <c r="J18" i="82"/>
  <c r="K24" i="51"/>
  <c r="K25" i="51"/>
  <c r="K32" i="51"/>
  <c r="K31" i="51"/>
  <c r="K30" i="51"/>
  <c r="K26" i="51"/>
  <c r="G17" i="47" l="1"/>
  <c r="G19" i="47"/>
  <c r="G20" i="47"/>
  <c r="G22" i="47"/>
  <c r="G23" i="47"/>
  <c r="G25" i="47"/>
  <c r="G26" i="47"/>
  <c r="G30" i="47"/>
  <c r="E19" i="47"/>
  <c r="E20" i="47"/>
  <c r="E22" i="47"/>
  <c r="E23" i="47"/>
  <c r="E25" i="47"/>
  <c r="E26" i="47"/>
  <c r="E30" i="47"/>
  <c r="C8" i="51"/>
  <c r="C9" i="51"/>
  <c r="C7" i="51"/>
  <c r="G19" i="2" l="1"/>
  <c r="I19" i="2"/>
  <c r="D19" i="2"/>
  <c r="C19" i="2"/>
  <c r="J19" i="2"/>
  <c r="F19" i="2"/>
  <c r="G11" i="2"/>
  <c r="I11" i="2"/>
  <c r="D11" i="2"/>
  <c r="J11" i="2"/>
  <c r="C11" i="2"/>
  <c r="F11" i="2"/>
  <c r="J16" i="2"/>
  <c r="C16" i="2"/>
  <c r="F16" i="2"/>
  <c r="G16" i="2"/>
  <c r="I16" i="2"/>
  <c r="D16" i="2"/>
  <c r="G15" i="2"/>
  <c r="I15" i="2"/>
  <c r="D15" i="2"/>
  <c r="J15" i="2"/>
  <c r="C15" i="2"/>
  <c r="F15" i="2"/>
  <c r="J20" i="2"/>
  <c r="C20" i="2"/>
  <c r="F20" i="2"/>
  <c r="G20" i="2"/>
  <c r="I20" i="2"/>
  <c r="D20" i="2"/>
  <c r="J12" i="2"/>
  <c r="C12" i="2"/>
  <c r="F12" i="2"/>
  <c r="G12" i="2"/>
  <c r="I12" i="2"/>
  <c r="D12" i="2"/>
  <c r="G17" i="2"/>
  <c r="I17" i="2"/>
  <c r="D17" i="2"/>
  <c r="J17" i="2"/>
  <c r="C17" i="2"/>
  <c r="F17" i="2"/>
  <c r="G13" i="2"/>
  <c r="I13" i="2"/>
  <c r="D13" i="2"/>
  <c r="J13" i="2"/>
  <c r="C13" i="2"/>
  <c r="F13" i="2"/>
  <c r="J18" i="2"/>
  <c r="C18" i="2"/>
  <c r="F18" i="2"/>
  <c r="G18" i="2"/>
  <c r="I18" i="2"/>
  <c r="D18" i="2"/>
  <c r="J14" i="2"/>
  <c r="C14" i="2"/>
  <c r="F14" i="2"/>
  <c r="G14" i="2"/>
  <c r="I14" i="2"/>
  <c r="D14" i="2"/>
  <c r="J10" i="2"/>
  <c r="C10" i="2"/>
  <c r="F10" i="2"/>
  <c r="G10" i="2"/>
  <c r="I10" i="2"/>
  <c r="D10" i="2"/>
  <c r="I9" i="2"/>
  <c r="F9" i="2"/>
  <c r="J9" i="2"/>
  <c r="G9" i="2"/>
  <c r="D9" i="2"/>
  <c r="E9" i="2" s="1"/>
  <c r="A9" i="8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A9" i="80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E8" i="79"/>
  <c r="A10" i="79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9" i="79"/>
  <c r="A9" i="78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9" i="77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10" i="76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9" i="76"/>
  <c r="A22" i="75"/>
  <c r="A23" i="75" s="1"/>
  <c r="A24" i="75" s="1"/>
  <c r="A25" i="75" s="1"/>
  <c r="A26" i="75" s="1"/>
  <c r="A27" i="75" s="1"/>
  <c r="A28" i="75" s="1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O9" i="2" l="1"/>
  <c r="H9" i="2"/>
  <c r="E10" i="2"/>
  <c r="E11" i="2" s="1"/>
  <c r="J21" i="2"/>
  <c r="G21" i="2"/>
  <c r="F21" i="2"/>
  <c r="I21" i="2"/>
  <c r="O10" i="2" l="1"/>
  <c r="H10" i="2"/>
  <c r="K9" i="2"/>
  <c r="E12" i="2"/>
  <c r="O11" i="2"/>
  <c r="H11" i="2"/>
  <c r="K10" i="2"/>
  <c r="H12" i="2" l="1"/>
  <c r="E13" i="2"/>
  <c r="K11" i="2"/>
  <c r="O12" i="2"/>
  <c r="O13" i="2" s="1"/>
  <c r="C21" i="2"/>
  <c r="D21" i="2"/>
  <c r="H13" i="2" l="1"/>
  <c r="K12" i="2"/>
  <c r="E14" i="2"/>
  <c r="I33" i="51"/>
  <c r="I27" i="51"/>
  <c r="K33" i="51"/>
  <c r="G33" i="51"/>
  <c r="O14" i="2" l="1"/>
  <c r="K13" i="2"/>
  <c r="E15" i="2"/>
  <c r="H14" i="2"/>
  <c r="O15" i="2"/>
  <c r="I35" i="51"/>
  <c r="E16" i="2" l="1"/>
  <c r="H15" i="2"/>
  <c r="K14" i="2"/>
  <c r="K24" i="2" l="1"/>
  <c r="K15" i="2"/>
  <c r="E17" i="2"/>
  <c r="O16" i="2"/>
  <c r="H16" i="2"/>
  <c r="E18" i="2" l="1"/>
  <c r="H17" i="2"/>
  <c r="E8" i="51" s="1"/>
  <c r="K16" i="2"/>
  <c r="O17" i="2"/>
  <c r="E15" i="51" s="1"/>
  <c r="E7" i="51"/>
  <c r="E33" i="51"/>
  <c r="E19" i="2" l="1"/>
  <c r="H18" i="2"/>
  <c r="G8" i="51" s="1"/>
  <c r="K17" i="2"/>
  <c r="E9" i="51" s="1"/>
  <c r="O18" i="2"/>
  <c r="G15" i="51" s="1"/>
  <c r="E27" i="51"/>
  <c r="K27" i="51"/>
  <c r="K35" i="51" s="1"/>
  <c r="G27" i="51"/>
  <c r="G35" i="51" s="1"/>
  <c r="E20" i="2" l="1"/>
  <c r="O19" i="2"/>
  <c r="I15" i="51" s="1"/>
  <c r="H19" i="2"/>
  <c r="I8" i="51" s="1"/>
  <c r="K18" i="2"/>
  <c r="G9" i="51" s="1"/>
  <c r="G7" i="51"/>
  <c r="E35" i="51"/>
  <c r="E10" i="51"/>
  <c r="E21" i="2"/>
  <c r="G10" i="51" l="1"/>
  <c r="G16" i="51" s="1"/>
  <c r="G17" i="51" s="1"/>
  <c r="G18" i="51" s="1"/>
  <c r="E31" i="2"/>
  <c r="K19" i="2"/>
  <c r="I9" i="51" s="1"/>
  <c r="H20" i="2"/>
  <c r="O20" i="2"/>
  <c r="I7" i="51"/>
  <c r="G40" i="51"/>
  <c r="E16" i="51"/>
  <c r="H21" i="2"/>
  <c r="I10" i="51" l="1"/>
  <c r="I40" i="51" s="1"/>
  <c r="K8" i="51"/>
  <c r="O21" i="2"/>
  <c r="K15" i="51"/>
  <c r="H31" i="2"/>
  <c r="K20" i="2"/>
  <c r="I16" i="51"/>
  <c r="I17" i="51" s="1"/>
  <c r="I18" i="51" s="1"/>
  <c r="K7" i="51"/>
  <c r="E17" i="51"/>
  <c r="E18" i="51" s="1"/>
  <c r="K21" i="2"/>
  <c r="K9" i="51" l="1"/>
  <c r="K10" i="51" s="1"/>
  <c r="H24" i="2"/>
  <c r="E24" i="2"/>
  <c r="K40" i="51" l="1"/>
  <c r="K16" i="51"/>
  <c r="K17" i="51" s="1"/>
  <c r="K18" i="51" s="1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<sst xmlns="http://schemas.openxmlformats.org/spreadsheetml/2006/main" count="214" uniqueCount="111">
  <si>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</si>
  <si>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</si>
  <si>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</si>
  <si>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</si>
  <si>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</si>
  <si>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</si>
  <si>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</si>
  <si>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</si>
  <si>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</si>
  <si>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</si>
  <si>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</si>
  <si>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</si>
  <si>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</si>
  <si>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</si>
  <si>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</si>
  <si>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</si>
  <si>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</si>
  <si>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</si>
  <si>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</si>
  <si>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</si>
  <si>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</si>
  <si>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</si>
  <si>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</si>
  <si>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</si>
  <si>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</si>
  <si>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</si>
  <si>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</si>
  <si>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</si>
  <si>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</si>
  <si>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</si>
  <si>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</si>
  <si>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</si>
  <si>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</si>
  <si>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</si>
  <si>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</si>
  <si>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</si>
  <si>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</si>
  <si>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</si>
  <si>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</si>
  <si>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</si>
  <si>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</si>
  <si>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</si>
  <si>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</si>
  <si>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</si>
  <si>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</si>
  <si>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</si>
  <si>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</si>
  <si>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</si>
  <si>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</si>
  <si>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</si>
  <si>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</si>
  <si>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</si>
  <si>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</si>
  <si>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</si>
  <si>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</si>
  <si>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</si>
  <si>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</si>
  <si>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</si>
  <si>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</si>
  <si>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</si>
  <si>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</si>
  <si>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</si>
  <si>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</si>
  <si>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</si>
  <si>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</si>
  <si>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</si>
  <si>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</si>
  <si>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</si>
  <si>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</si>
  <si>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</si>
  <si>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</si>
  <si>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</si>
  <si>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</si>
  <si>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</si>
  <si>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</si>
  <si>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</si>
  <si>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</si>
  <si>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</si>
  <si>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</si>
  <si>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</si>
  <si>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</si>
  <si>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</si>
  <si>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</si>
  <si>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</si>
  <si>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</si>
  <si>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</si>
  <si>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</si>
  <si>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</si>
  <si>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Outstanding Checks:</t>
  </si>
  <si>
    <t>Reconcilation</t>
  </si>
  <si>
    <t>Ending Balance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</si>
  <si>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</si>
  <si>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</si>
  <si>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</si>
  <si>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</si>
  <si>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</si>
  <si>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</si>
  <si>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</si>
  <si>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</si>
  <si>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</si>
  <si>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</si>
  <si>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Investment Statement</t>
  </si>
  <si>
    <t>Reconciliation</t>
  </si>
  <si>
    <t xml:space="preserve">Curr Stmt.  </t>
  </si>
  <si>
    <t>LCR Video Equipment Check #1178</t>
  </si>
  <si>
    <t>Racine County Food Bank #1180</t>
  </si>
  <si>
    <t>Hospitality Center of Racine #1179</t>
  </si>
  <si>
    <t>Faithworks Food Pantry #1181</t>
  </si>
  <si>
    <t>Holy Communion Food Pantry #1182</t>
  </si>
  <si>
    <t>uncashed 2020 Grants</t>
  </si>
  <si>
    <t xml:space="preserve">CheckSum: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</si>
</sst>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_);\(#,##0.000000000000000\)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18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44" fontId="13" fillId="0" borderId="0" xfId="1" quotePrefix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quotePrefix="1" applyNumberFormat="1" applyFont="1" applyFill="1" applyBorder="1" applyAlignment="1">
      <alignment horizontal="center"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9" fontId="8" fillId="0" borderId="0" xfId="0" applyNumberFormat="1" applyFont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64" fontId="0" fillId="0" borderId="0" xfId="0" applyNumberFormat="1"/>
    <xf numFmtId="164" fontId="29" fillId="0" borderId="0" xfId="0" applyNumberFormat="1" applyFont="1"/>
    <xf numFmtId="164" fontId="30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1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44" fontId="13" fillId="0" borderId="13" xfId="0" applyNumberFormat="1" applyFont="1" applyFill="1" applyBorder="1" applyAlignment="1">
      <alignment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43" fontId="17" fillId="0" borderId="2" xfId="1" applyNumberFormat="1" applyFont="1" applyFill="1" applyBorder="1" applyAlignment="1">
      <alignment vertical="center"/>
    </xf>
    <xf numFmtId="43" fontId="8" fillId="0" borderId="10" xfId="1" applyNumberFormat="1" applyFont="1" applyBorder="1" applyAlignment="1">
      <alignment vertical="center"/>
    </xf>
    <xf numFmtId="43" fontId="17" fillId="0" borderId="10" xfId="1" applyNumberFormat="1" applyFont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43" fontId="7" fillId="0" borderId="5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10"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</cellStyles>
  <dxfs count="6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29"/>
  <sheetViews>
    <sheetView showGridLines="0" workbookViewId="0">
      <selection activeCell="A4" sqref="A4"/>
    </sheetView>
  </sheetViews>
  <sheetFormatPr defaultColWidth="8.7109375" defaultRowHeight="15" x14ac:dyDescent="0.25"/>
  <cols>
    <col min="1" max="1" width="2.140625" style="20" customWidth="1"/>
    <col min="2" max="2" width="3.7109375" style="20" customWidth="1"/>
    <col min="3" max="3" width="38.140625" style="20" customWidth="1"/>
    <col min="4" max="4" width="1.5703125" style="20" customWidth="1"/>
    <col min="5" max="5" width="15.5703125" style="20" bestFit="1" customWidth="1"/>
    <col min="6" max="6" width="1.5703125" style="20" customWidth="1"/>
    <col min="7" max="7" width="15.5703125" style="20" bestFit="1" customWidth="1"/>
    <col min="8" max="8" width="1.5703125" style="20" customWidth="1"/>
    <col min="9" max="9" width="15.5703125" style="20" bestFit="1" customWidth="1"/>
    <col min="10" max="10" width="1.5703125" style="20" customWidth="1"/>
    <col min="11" max="11" width="15.85546875" style="20" customWidth="1"/>
    <col min="12" max="12" width="2.140625" style="20" customWidth="1"/>
    <col min="13" max="13" width="14.5703125" style="20" customWidth="1"/>
    <col min="14" max="14" width="17.28515625" style="20" customWidth="1"/>
    <col min="15" max="16384" width="8.7109375" style="20"/>
  </cols>
  <sheetData>
    <row r="1" spans="1:15" ht="20.25" x14ac:dyDescent="0.25">
      <c r="A1" s="172" t="s">
        <v>78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5" ht="20.25" x14ac:dyDescent="0.25">
      <c r="A2" s="172" t="s">
        <v>79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5" ht="20.25" x14ac:dyDescent="0.25">
      <c r="A3" s="172" t="str">
        <f>VLOOKUP(CurrQtr,LKQtr,5)&amp;", "&amp;CurrentYr</f>
        <v>4th Quarter, 2020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99"/>
    </row>
    <row r="4" spans="1:15" ht="9.9499999999999993" customHeight="1" thickBot="1" x14ac:dyDescent="0.3">
      <c r="G4" s="19"/>
      <c r="H4" s="19"/>
      <c r="I4" s="19"/>
      <c r="J4" s="19"/>
      <c r="K4" s="19"/>
    </row>
    <row r="5" spans="1:15" ht="6.6" customHeight="1" thickTop="1" x14ac:dyDescent="0.25">
      <c r="A5" s="26"/>
      <c r="B5" s="27"/>
      <c r="C5" s="27"/>
      <c r="D5" s="27"/>
      <c r="E5" s="27"/>
      <c r="F5" s="27"/>
      <c r="G5" s="130"/>
      <c r="H5" s="130"/>
      <c r="I5" s="130"/>
      <c r="J5" s="130"/>
      <c r="K5" s="130"/>
      <c r="L5" s="28"/>
    </row>
    <row r="6" spans="1:15" ht="47.25" x14ac:dyDescent="0.2">
      <c r="A6" s="30"/>
      <c r="B6" s="108" t="s">
        <v>35</v>
      </c>
      <c r="E6" s="107" t="s">
        <v>68</v>
      </c>
      <c r="G6" s="107" t="str">
        <f>VLOOKUP(CurrQtr,LKQtr,2)</f>
        <v>October</v>
      </c>
      <c r="H6" s="19"/>
      <c r="I6" s="107" t="str">
        <f>VLOOKUP(CurrQtr,LKQtr,3)</f>
        <v>November</v>
      </c>
      <c r="J6" s="19"/>
      <c r="K6" s="107" t="str">
        <f>VLOOKUP(CurrQtr,LKQtr,4)&amp;"
 (Quarter End Balance)"</f>
        <v>December
 (Quarter End Balance)</v>
      </c>
      <c r="L6" s="29"/>
    </row>
    <row r="7" spans="1:15" x14ac:dyDescent="0.25">
      <c r="A7" s="30"/>
      <c r="B7" s="101">
        <v>1000</v>
      </c>
      <c r="C7" s="19" t="str">
        <f>IF(B7="","",VLOOKUP(B7,Chart,2))</f>
        <v>Fidelity Investments</v>
      </c>
      <c r="E7" s="21">
        <f>VLOOKUP(IF(CurrQtr=1,0,IF(CurrQtr=2,3,IF(CurrQtr=3,6,9))),BankAccounts,4)</f>
        <v>161893.63000000003</v>
      </c>
      <c r="G7" s="21">
        <f>VLOOKUP(IF(CurrQtr=1,1,IF(CurrQtr=2,4,IF(CurrQtr=3,7,10))),BankAccounts,4)</f>
        <v>160218.76000000004</v>
      </c>
      <c r="H7" s="19"/>
      <c r="I7" s="21">
        <f>VLOOKUP(IF(CurrQtr=1,2,IF(CurrQtr=2,5,IF(CurrQtr=3,8,11))),BankAccounts,4)</f>
        <v>173059.39000000004</v>
      </c>
      <c r="J7" s="19"/>
      <c r="K7" s="21">
        <f>VLOOKUP(IF(CurrQtr=1,3,IF(CurrQtr=2,6,IF(CurrQtr=3,9,12))),BankAccounts,4)</f>
        <v>174290.24000000005</v>
      </c>
      <c r="L7" s="29"/>
      <c r="M7" s="22"/>
      <c r="N7" s="21"/>
      <c r="O7" s="21"/>
    </row>
    <row r="8" spans="1:15" x14ac:dyDescent="0.25">
      <c r="A8" s="30"/>
      <c r="B8" s="101">
        <v>1010</v>
      </c>
      <c r="C8" s="19" t="str">
        <f>IF(B8="","",VLOOKUP(B8,Chart,2))</f>
        <v>Johnson Bank - Checking</v>
      </c>
      <c r="E8" s="21">
        <f>VLOOKUP(IF(CurrQtr=1,0,IF(CurrQtr=2,3,IF(CurrQtr=3,6,9))),BankAccounts,7)</f>
        <v>561.25</v>
      </c>
      <c r="G8" s="21">
        <f>VLOOKUP(IF(CurrQtr=1,1,IF(CurrQtr=2,4,IF(CurrQtr=3,7,10))),BankAccounts,7)</f>
        <v>561.25</v>
      </c>
      <c r="H8" s="19"/>
      <c r="I8" s="21">
        <f>VLOOKUP(IF(CurrQtr=1,2,IF(CurrQtr=2,5,IF(CurrQtr=3,8,11))),BankAccounts,7)</f>
        <v>561.25</v>
      </c>
      <c r="J8" s="19"/>
      <c r="K8" s="21">
        <f>VLOOKUP(IF(CurrQtr=1,3,IF(CurrQtr=2,6,IF(CurrQtr=3,9,12))),BankAccounts,7)</f>
        <v>561.25</v>
      </c>
      <c r="L8" s="29"/>
    </row>
    <row r="9" spans="1:15" x14ac:dyDescent="0.25">
      <c r="A9" s="30"/>
      <c r="B9" s="101">
        <v>1020</v>
      </c>
      <c r="C9" s="19" t="str">
        <f>IF(B9="","",VLOOKUP(B9,Chart,2))</f>
        <v>Racine Community Foundation</v>
      </c>
      <c r="E9" s="21">
        <f>VLOOKUP(IF(CurrQtr=1,0,IF(CurrQtr=2,3,IF(CurrQtr=3,6,9))),BankAccounts,10)</f>
        <v>25958.11</v>
      </c>
      <c r="G9" s="21">
        <f>VLOOKUP(IF(CurrQtr=1,1,IF(CurrQtr=2,4,IF(CurrQtr=3,7,10))),BankAccounts,10)</f>
        <v>25958.11</v>
      </c>
      <c r="H9" s="19"/>
      <c r="I9" s="21">
        <f>VLOOKUP(IF(CurrQtr=1,2,IF(CurrQtr=2,5,IF(CurrQtr=3,8,11))),BankAccounts,10)</f>
        <v>25958.11</v>
      </c>
      <c r="J9" s="19"/>
      <c r="K9" s="21">
        <f>VLOOKUP(IF(CurrQtr=1,3,IF(CurrQtr=2,6,IF(CurrQtr=3,9,12))),BankAccounts,10)</f>
        <v>25958.11</v>
      </c>
      <c r="L9" s="29"/>
    </row>
    <row r="10" spans="1:15" ht="11.25" customHeight="1" thickBot="1" x14ac:dyDescent="0.3">
      <c r="A10" s="30"/>
      <c r="B10" s="45" t="s">
        <v>34</v>
      </c>
      <c r="C10" s="45"/>
      <c r="D10" s="45"/>
      <c r="E10" s="66">
        <f>SUM(E7:E9)</f>
        <v>188412.99000000005</v>
      </c>
      <c r="F10" s="45"/>
      <c r="G10" s="66">
        <f>SUM(G7:G9)</f>
        <v>186738.12000000005</v>
      </c>
      <c r="H10" s="19"/>
      <c r="I10" s="66">
        <f>SUM(I7:I9)</f>
        <v>199578.75000000006</v>
      </c>
      <c r="J10" s="19"/>
      <c r="K10" s="66">
        <f>SUM(K7:K9)</f>
        <v>200809.60000000003</v>
      </c>
      <c r="L10" s="29"/>
      <c r="M10" s="22"/>
      <c r="N10" s="22"/>
    </row>
    <row r="11" spans="1:15" ht="16.5" hidden="1" thickTop="1" x14ac:dyDescent="0.25">
      <c r="A11" s="30"/>
      <c r="E11" s="22"/>
      <c r="G11" s="107" t="str">
        <f>VLOOKUP(CurrQtr,LKQtr,2)</f>
        <v>October</v>
      </c>
      <c r="H11" s="19"/>
      <c r="I11" s="107" t="str">
        <f>VLOOKUP(CurrQtr,LKQtr,2)</f>
        <v>October</v>
      </c>
      <c r="J11" s="19"/>
      <c r="K11" s="107" t="str">
        <f>VLOOKUP(CurrQtr,LKQtr,2)</f>
        <v>October</v>
      </c>
      <c r="L11" s="29"/>
    </row>
    <row r="12" spans="1:15" ht="16.5" thickTop="1" x14ac:dyDescent="0.25">
      <c r="A12" s="30"/>
      <c r="B12" s="45"/>
      <c r="C12" s="45"/>
      <c r="D12" s="45"/>
      <c r="E12" s="67"/>
      <c r="F12" s="45"/>
      <c r="G12" s="67"/>
      <c r="H12" s="19"/>
      <c r="I12" s="19"/>
      <c r="J12" s="19"/>
      <c r="K12" s="25"/>
      <c r="L12" s="29"/>
    </row>
    <row r="13" spans="1:15" ht="3.95" customHeight="1" x14ac:dyDescent="0.25">
      <c r="A13" s="30"/>
      <c r="E13" s="22"/>
      <c r="G13" s="22"/>
      <c r="H13" s="19"/>
      <c r="I13" s="19"/>
      <c r="J13" s="19"/>
      <c r="K13" s="100"/>
      <c r="L13" s="29"/>
    </row>
    <row r="14" spans="1:15" x14ac:dyDescent="0.25">
      <c r="A14" s="30"/>
      <c r="B14" s="20" t="s">
        <v>83</v>
      </c>
      <c r="E14" s="22"/>
      <c r="G14" s="22"/>
      <c r="H14" s="19"/>
      <c r="I14" s="19"/>
      <c r="J14" s="19"/>
      <c r="K14" s="25"/>
      <c r="L14" s="29"/>
    </row>
    <row r="15" spans="1:15" x14ac:dyDescent="0.25">
      <c r="A15" s="30"/>
      <c r="C15" s="20" t="s">
        <v>75</v>
      </c>
      <c r="E15" s="21">
        <f>VLOOKUP(IF(CurrQtr=1,0,IF(CurrQtr=2,3,IF(CurrQtr=3,6,9))),BankAccounts,14)</f>
        <v>129283.65</v>
      </c>
      <c r="G15" s="21">
        <f>VLOOKUP(IF(CurrQtr=1,1,IF(CurrQtr=2,4,IF(CurrQtr=3,7,10))),BankAccounts,14)</f>
        <v>129283.65</v>
      </c>
      <c r="H15" s="19"/>
      <c r="I15" s="21">
        <f>VLOOKUP(IF(CurrQtr=1,2,IF(CurrQtr=2,5,IF(CurrQtr=3,8,11))),BankAccounts,14)</f>
        <v>129283.65</v>
      </c>
      <c r="J15" s="19"/>
      <c r="K15" s="21">
        <f>VLOOKUP(IF(CurrQtr=1,3,IF(CurrQtr=2,6,IF(CurrQtr=3,9,12))),BankAccounts,14)</f>
        <v>129283.65</v>
      </c>
      <c r="L15" s="29"/>
      <c r="M15" s="22"/>
      <c r="O15" s="135"/>
    </row>
    <row r="16" spans="1:15" x14ac:dyDescent="0.25">
      <c r="A16" s="30"/>
      <c r="C16" s="20" t="s">
        <v>91</v>
      </c>
      <c r="E16" s="22">
        <f>+E10-E15</f>
        <v>59129.340000000055</v>
      </c>
      <c r="F16" s="22">
        <f t="shared" ref="F16:K16" si="0">+F10-F15</f>
        <v>0</v>
      </c>
      <c r="G16" s="22">
        <f t="shared" si="0"/>
        <v>57454.470000000059</v>
      </c>
      <c r="H16" s="22">
        <f t="shared" si="0"/>
        <v>0</v>
      </c>
      <c r="I16" s="22">
        <f t="shared" si="0"/>
        <v>70295.100000000064</v>
      </c>
      <c r="J16" s="22">
        <f t="shared" si="0"/>
        <v>0</v>
      </c>
      <c r="K16" s="22">
        <f t="shared" si="0"/>
        <v>71525.950000000041</v>
      </c>
      <c r="L16" s="29"/>
      <c r="M16" s="22"/>
    </row>
    <row r="17" spans="1:15" x14ac:dyDescent="0.25">
      <c r="A17" s="30"/>
      <c r="B17" s="128"/>
      <c r="C17" s="20" t="str">
        <f>Reserve*100&amp;"% Reserve (of available funds)"</f>
        <v>15% Reserve (of available funds)</v>
      </c>
      <c r="E17" s="22">
        <f t="shared" ref="E17:K17" si="1">+E16*Reserve</f>
        <v>8869.4010000000071</v>
      </c>
      <c r="F17" s="22">
        <f t="shared" si="1"/>
        <v>0</v>
      </c>
      <c r="G17" s="22">
        <f t="shared" si="1"/>
        <v>8618.1705000000093</v>
      </c>
      <c r="H17" s="22">
        <f t="shared" si="1"/>
        <v>0</v>
      </c>
      <c r="I17" s="22">
        <f t="shared" si="1"/>
        <v>10544.265000000009</v>
      </c>
      <c r="J17" s="22">
        <f t="shared" si="1"/>
        <v>0</v>
      </c>
      <c r="K17" s="22">
        <f t="shared" si="1"/>
        <v>10728.892500000005</v>
      </c>
      <c r="L17" s="29"/>
      <c r="M17" s="22"/>
      <c r="O17" s="135"/>
    </row>
    <row r="18" spans="1:15" ht="16.5" thickBot="1" x14ac:dyDescent="0.3">
      <c r="A18" s="30"/>
      <c r="B18" s="45" t="s">
        <v>85</v>
      </c>
      <c r="C18" s="45"/>
      <c r="D18" s="45"/>
      <c r="E18" s="66">
        <f>+E16-E17</f>
        <v>50259.939000000049</v>
      </c>
      <c r="F18" s="66">
        <f t="shared" ref="F18:K18" si="2">+F16-F17</f>
        <v>0</v>
      </c>
      <c r="G18" s="66">
        <f t="shared" si="2"/>
        <v>48836.299500000052</v>
      </c>
      <c r="H18" s="66">
        <f t="shared" si="2"/>
        <v>0</v>
      </c>
      <c r="I18" s="66">
        <f t="shared" si="2"/>
        <v>59750.835000000057</v>
      </c>
      <c r="J18" s="66">
        <f t="shared" si="2"/>
        <v>0</v>
      </c>
      <c r="K18" s="66">
        <f t="shared" si="2"/>
        <v>60797.057500000039</v>
      </c>
      <c r="L18" s="29"/>
      <c r="M18" s="22"/>
    </row>
    <row r="19" spans="1:15" ht="16.5" thickTop="1" x14ac:dyDescent="0.25">
      <c r="A19" s="30"/>
      <c r="B19" s="45"/>
      <c r="C19" s="134" t="s">
        <v>92</v>
      </c>
      <c r="D19" s="45"/>
      <c r="E19" s="133"/>
      <c r="F19" s="133"/>
      <c r="G19" s="133"/>
      <c r="H19" s="133"/>
      <c r="I19" s="133"/>
      <c r="J19" s="133"/>
      <c r="K19" s="133"/>
      <c r="L19" s="29"/>
      <c r="M19" s="22"/>
      <c r="N19" s="22"/>
    </row>
    <row r="20" spans="1:15" ht="12.95" customHeight="1" thickBot="1" x14ac:dyDescent="0.3">
      <c r="A20" s="31"/>
      <c r="B20" s="32"/>
      <c r="C20" s="32"/>
      <c r="D20" s="32"/>
      <c r="E20" s="96"/>
      <c r="F20" s="32"/>
      <c r="G20" s="96"/>
      <c r="H20" s="35"/>
      <c r="I20" s="35"/>
      <c r="J20" s="35"/>
      <c r="K20" s="131"/>
      <c r="L20" s="34"/>
    </row>
    <row r="21" spans="1:15" ht="9.9499999999999993" customHeight="1" thickTop="1" thickBot="1" x14ac:dyDescent="0.3">
      <c r="B21" s="32"/>
      <c r="C21" s="32"/>
      <c r="D21" s="32"/>
      <c r="E21" s="33"/>
      <c r="G21" s="25"/>
      <c r="K21" s="97"/>
    </row>
    <row r="22" spans="1:15" ht="22.5" customHeight="1" thickTop="1" x14ac:dyDescent="0.25">
      <c r="A22" s="26"/>
      <c r="B22" s="173" t="s">
        <v>40</v>
      </c>
      <c r="C22" s="173"/>
      <c r="D22" s="173"/>
      <c r="E22" s="173"/>
      <c r="F22" s="173"/>
      <c r="G22" s="173"/>
      <c r="H22" s="173"/>
      <c r="I22" s="173"/>
      <c r="J22" s="173"/>
      <c r="K22" s="173"/>
      <c r="L22" s="28"/>
    </row>
    <row r="23" spans="1:15" ht="31.5" x14ac:dyDescent="0.25">
      <c r="A23" s="30"/>
      <c r="B23" s="116" t="s">
        <v>36</v>
      </c>
      <c r="E23" s="174" t="str">
        <f>VLOOKUP(CurrQtr,LKQtr,2)</f>
        <v>October</v>
      </c>
      <c r="F23" s="174"/>
      <c r="G23" s="174" t="str">
        <f>VLOOKUP(CurrQtr,LKQtr,3)</f>
        <v>November</v>
      </c>
      <c r="H23" s="174"/>
      <c r="I23" s="174" t="str">
        <f>VLOOKUP(CurrQtr,LKQtr,4)</f>
        <v>December</v>
      </c>
      <c r="J23" s="174"/>
      <c r="K23" s="72" t="str">
        <f>"Total "&amp;VLOOKUP(CurrQtr,LKQtr,5)</f>
        <v>Total 4th Quarter</v>
      </c>
      <c r="L23" s="29"/>
    </row>
    <row r="24" spans="1:15" x14ac:dyDescent="0.25">
      <c r="A24" s="30"/>
      <c r="B24" s="115">
        <v>4000</v>
      </c>
      <c r="C24" s="19" t="str">
        <f>VLOOKUP(B24,Accounts,2)</f>
        <v>Contributions (Principal Increase)</v>
      </c>
      <c r="E24" s="21">
        <f>SUMIFS(SumRevenue,SumMonth,E$23,SumAccount,$B24)</f>
        <v>0</v>
      </c>
      <c r="F24" s="21"/>
      <c r="G24" s="21">
        <f>SUMIFS(SumRevenue,SumMonth,G$23,SumAccount,$B24)</f>
        <v>0</v>
      </c>
      <c r="H24" s="21"/>
      <c r="I24" s="21">
        <f>SUMIFS(SumRevenue,SumMonth,I$23,SumAccount,$B24)</f>
        <v>0</v>
      </c>
      <c r="J24" s="21"/>
      <c r="K24" s="22">
        <f>SUM(E24:I24)</f>
        <v>0</v>
      </c>
      <c r="L24" s="29"/>
      <c r="M24" s="22"/>
    </row>
    <row r="25" spans="1:15" x14ac:dyDescent="0.25">
      <c r="A25" s="30"/>
      <c r="B25" s="115">
        <v>4010</v>
      </c>
      <c r="C25" s="19" t="str">
        <f>VLOOKUP(B25,Accounts,2)</f>
        <v>Interest</v>
      </c>
      <c r="E25" s="21">
        <f>SUMIFS(SumRevenue,SumMonth,E$23,SumAccount,$B25)</f>
        <v>0</v>
      </c>
      <c r="G25" s="21">
        <f>SUMIFS(SumRevenue,SumMonth,G$23,SumAccount,$B25)</f>
        <v>0</v>
      </c>
      <c r="H25" s="19"/>
      <c r="I25" s="21">
        <f>SUMIFS(SumRevenue,SumMonth,I$23,SumAccount,$B25)</f>
        <v>0</v>
      </c>
      <c r="J25" s="19"/>
      <c r="K25" s="22">
        <f>SUM(E25:I25)</f>
        <v>0</v>
      </c>
      <c r="L25" s="29"/>
      <c r="M25" s="22"/>
    </row>
    <row r="26" spans="1:15" x14ac:dyDescent="0.25">
      <c r="A26" s="30"/>
      <c r="B26" s="115">
        <v>4020</v>
      </c>
      <c r="C26" s="19" t="str">
        <f>VLOOKUP(B26,Accounts,2)&amp;" (Net)"</f>
        <v>Change in Investment Value (Net)</v>
      </c>
      <c r="E26" s="117">
        <f>SUMIFS(SumRevenue,SumMonth,E$23,SumAccount,$B26)-SUMIFS(SumExp,SumMonth,E$23,SumAccount,$B26)</f>
        <v>-1674.87</v>
      </c>
      <c r="F26" s="118"/>
      <c r="G26" s="117">
        <f>SUMIFS(SumRevenue,SumMonth,G$23,SumAccount,$B26)-SUMIFS(SumExp,SumMonth,G$23,SumAccount,$B26)</f>
        <v>12840.63</v>
      </c>
      <c r="H26" s="119"/>
      <c r="I26" s="117">
        <f>SUMIFS(SumRevenue,SumMonth,I$23,SumAccount,$B26)-SUMIFS(SumExp,SumMonth,I$23,SumAccount,$B26)</f>
        <v>6230.85</v>
      </c>
      <c r="J26" s="119"/>
      <c r="K26" s="120">
        <f>SUM(E26:I26)</f>
        <v>17396.61</v>
      </c>
      <c r="L26" s="29"/>
    </row>
    <row r="27" spans="1:15" ht="20.25" x14ac:dyDescent="0.25">
      <c r="A27" s="30"/>
      <c r="B27" s="45" t="s">
        <v>37</v>
      </c>
      <c r="C27" s="65"/>
      <c r="D27" s="68"/>
      <c r="E27" s="69">
        <f>SUM(E24:E26)</f>
        <v>-1674.87</v>
      </c>
      <c r="F27" s="68"/>
      <c r="G27" s="69">
        <f>SUM(G24:G26)</f>
        <v>12840.63</v>
      </c>
      <c r="H27" s="65"/>
      <c r="I27" s="69">
        <f>SUM(I24:I26)</f>
        <v>6230.85</v>
      </c>
      <c r="J27" s="70"/>
      <c r="K27" s="69">
        <f>SUM(K24:K26)</f>
        <v>17396.61</v>
      </c>
      <c r="L27" s="29"/>
      <c r="M27" s="22"/>
    </row>
    <row r="28" spans="1:15" ht="7.5" customHeight="1" x14ac:dyDescent="0.25">
      <c r="A28" s="30"/>
      <c r="C28" s="19"/>
      <c r="D28" s="23"/>
      <c r="E28" s="21"/>
      <c r="F28" s="23"/>
      <c r="G28" s="21"/>
      <c r="H28" s="19"/>
      <c r="I28" s="21"/>
      <c r="J28" s="24"/>
      <c r="K28" s="22"/>
      <c r="L28" s="29"/>
    </row>
    <row r="29" spans="1:15" ht="17.25" x14ac:dyDescent="0.25">
      <c r="A29" s="30"/>
      <c r="B29" s="45" t="s">
        <v>38</v>
      </c>
      <c r="C29" s="19"/>
      <c r="D29" s="23"/>
      <c r="E29" s="21"/>
      <c r="F29" s="23"/>
      <c r="G29" s="21"/>
      <c r="H29" s="19"/>
      <c r="I29" s="21"/>
      <c r="J29" s="24"/>
      <c r="K29" s="22"/>
      <c r="L29" s="29"/>
    </row>
    <row r="30" spans="1:15" ht="15.6" customHeight="1" x14ac:dyDescent="0.25">
      <c r="A30" s="30"/>
      <c r="B30" s="115">
        <v>5000</v>
      </c>
      <c r="C30" s="19" t="str">
        <f>VLOOKUP(B30,Accounts,2)</f>
        <v>Grants</v>
      </c>
      <c r="E30" s="21">
        <f>SUMIFS(SumExp,SumMonth,E$23,SumAccount,$B30)</f>
        <v>0</v>
      </c>
      <c r="G30" s="21">
        <f>SUMIFS(SumExp,SumMonth,G$23,SumAccount,$B30)</f>
        <v>0</v>
      </c>
      <c r="H30" s="19"/>
      <c r="I30" s="21">
        <f>SUMIFS(SumExp,SumMonth,I$23,SumAccount,$B30)</f>
        <v>5000</v>
      </c>
      <c r="J30" s="19"/>
      <c r="K30" s="22">
        <f>SUM(E30:I30)</f>
        <v>5000</v>
      </c>
      <c r="L30" s="29"/>
    </row>
    <row r="31" spans="1:15" ht="15.6" customHeight="1" x14ac:dyDescent="0.25">
      <c r="A31" s="30"/>
      <c r="B31" s="115">
        <v>5010</v>
      </c>
      <c r="C31" s="19" t="str">
        <f>VLOOKUP(B31,Accounts,2)</f>
        <v>Fund Expenses</v>
      </c>
      <c r="E31" s="21">
        <f>SUMIFS(SumExp,SumMonth,E$23,SumAccount,$B31)</f>
        <v>0</v>
      </c>
      <c r="G31" s="21">
        <f>SUMIFS(SumExp,SumMonth,G$23,SumAccount,$B31)</f>
        <v>0</v>
      </c>
      <c r="H31" s="19"/>
      <c r="I31" s="21">
        <f>SUMIFS(SumExp,SumMonth,I$23,SumAccount,$B31)</f>
        <v>0</v>
      </c>
      <c r="J31" s="19"/>
      <c r="K31" s="22">
        <f>SUM(E31:I31)</f>
        <v>0</v>
      </c>
      <c r="L31" s="29"/>
    </row>
    <row r="32" spans="1:15" ht="15.6" customHeight="1" x14ac:dyDescent="0.25">
      <c r="A32" s="30"/>
      <c r="B32" s="115">
        <v>5050</v>
      </c>
      <c r="C32" s="19" t="str">
        <f>VLOOKUP(B32,Accounts,2)</f>
        <v>Reductions to Principal</v>
      </c>
      <c r="E32" s="117">
        <f>SUMIFS(SumExp,SumMonth,E$23,SumAccount,$B32)</f>
        <v>0</v>
      </c>
      <c r="F32" s="118"/>
      <c r="G32" s="117">
        <f>SUMIFS(SumExp,SumMonth,G$23,SumAccount,$B32)</f>
        <v>0</v>
      </c>
      <c r="H32" s="119"/>
      <c r="I32" s="117">
        <f>SUMIFS(SumExp,SumMonth,I$23,SumAccount,$B32)</f>
        <v>0</v>
      </c>
      <c r="J32" s="119"/>
      <c r="K32" s="120">
        <f>SUM(E32:I32)</f>
        <v>0</v>
      </c>
      <c r="L32" s="29"/>
    </row>
    <row r="33" spans="1:14" ht="15.6" customHeight="1" x14ac:dyDescent="0.25">
      <c r="A33" s="30"/>
      <c r="B33" s="45" t="s">
        <v>33</v>
      </c>
      <c r="E33" s="69">
        <f>SUM(E30:E32)</f>
        <v>0</v>
      </c>
      <c r="G33" s="69">
        <f>SUM(G30:G32)</f>
        <v>0</v>
      </c>
      <c r="H33" s="65"/>
      <c r="I33" s="69">
        <f>SUM(I30:I32)</f>
        <v>5000</v>
      </c>
      <c r="J33" s="70"/>
      <c r="K33" s="69">
        <f>SUM(K30:K32)</f>
        <v>5000</v>
      </c>
      <c r="L33" s="29"/>
      <c r="M33" s="22"/>
      <c r="N33" s="22"/>
    </row>
    <row r="34" spans="1:14" ht="9" customHeight="1" x14ac:dyDescent="0.25">
      <c r="A34" s="30"/>
      <c r="B34" s="45"/>
      <c r="E34" s="69"/>
      <c r="G34" s="69"/>
      <c r="H34" s="65"/>
      <c r="I34" s="69"/>
      <c r="J34" s="70"/>
      <c r="K34" s="69"/>
      <c r="L34" s="29"/>
    </row>
    <row r="35" spans="1:14" ht="15.6" customHeight="1" thickBot="1" x14ac:dyDescent="0.3">
      <c r="A35" s="30"/>
      <c r="B35" s="45" t="s">
        <v>39</v>
      </c>
      <c r="E35" s="71">
        <f>+E27-E33</f>
        <v>-1674.87</v>
      </c>
      <c r="G35" s="71">
        <f>+G27-G33</f>
        <v>12840.63</v>
      </c>
      <c r="H35" s="65"/>
      <c r="I35" s="71">
        <f>+I27-I33</f>
        <v>1230.8500000000004</v>
      </c>
      <c r="J35" s="70"/>
      <c r="K35" s="71">
        <f>+K27-K33</f>
        <v>12396.61</v>
      </c>
      <c r="L35" s="29"/>
      <c r="M35" s="22"/>
    </row>
    <row r="36" spans="1:14" ht="11.1" customHeight="1" thickTop="1" thickBot="1" x14ac:dyDescent="0.3">
      <c r="A36" s="31"/>
      <c r="B36" s="32"/>
      <c r="C36" s="32"/>
      <c r="D36" s="32"/>
      <c r="E36" s="32"/>
      <c r="F36" s="32"/>
      <c r="G36" s="32"/>
      <c r="H36" s="35"/>
      <c r="I36" s="32"/>
      <c r="J36" s="35"/>
      <c r="K36" s="32"/>
      <c r="L36" s="34"/>
    </row>
    <row r="37" spans="1:14" ht="15.75" thickTop="1" x14ac:dyDescent="0.25">
      <c r="H37" s="19"/>
      <c r="J37" s="19"/>
      <c r="M37" s="22"/>
    </row>
    <row r="38" spans="1:14" x14ac:dyDescent="0.25">
      <c r="A38" s="115" t="s">
        <v>76</v>
      </c>
      <c r="G38" s="25"/>
      <c r="H38" s="19"/>
      <c r="J38" s="19"/>
    </row>
    <row r="39" spans="1:14" x14ac:dyDescent="0.25">
      <c r="B39" s="115">
        <v>5020</v>
      </c>
      <c r="C39" s="121" t="str">
        <f>VLOOKUP(B39,Accounts,2)</f>
        <v>Transfer Funds</v>
      </c>
      <c r="E39" s="21" t="str">
        <f>IF(SUMIFS(SumRevenue,SumMonth,E$23,SumAccount,$B39)-SUMIFS(SumExp,SumMonth,E$23,SumAccount,$B39)=0,"","ERROR WITH TRANSFERS")</f>
        <v/>
      </c>
      <c r="G39" s="21" t="str">
        <f>IF(SUMIFS(SumRevenue,SumMonth,G$23,SumAccount,$B39)-SUMIFS(SumExp,SumMonth,G$23,SumAccount,$B39)=0,"","ERROR WITH TRANSFERS")</f>
        <v/>
      </c>
      <c r="H39" s="19"/>
      <c r="I39" s="21" t="str">
        <f>IF(SUMIFS(SumRevenue,SumMonth,I$23,SumAccount,$B39)-SUMIFS(SumExp,SumMonth,I$23,SumAccount,$B39)=0,"","ERROR WITH TRANSFERS")</f>
        <v/>
      </c>
      <c r="J39" s="19"/>
    </row>
    <row r="40" spans="1:14" x14ac:dyDescent="0.25">
      <c r="B40" s="115" t="s">
        <v>77</v>
      </c>
      <c r="E40" s="25"/>
      <c r="F40" s="25"/>
      <c r="G40" s="25" t="str">
        <f>IF(ROUND(+G10-$E10-E35,0)=0,"","ERROR IN BALANCES")</f>
        <v/>
      </c>
      <c r="H40" s="25"/>
      <c r="I40" s="25" t="str">
        <f>IF(ROUND(+I10-$E10-G35-E35,0)=0,"","ERROR IN BALANCES")</f>
        <v/>
      </c>
      <c r="J40" s="25"/>
      <c r="K40" s="25" t="str">
        <f>IF(ROUND(+K10-$E10-K35,0)=0,"","ERROR IN BALANCES")</f>
        <v/>
      </c>
    </row>
    <row r="41" spans="1:14" x14ac:dyDescent="0.25">
      <c r="E41" s="19"/>
      <c r="G41" s="19"/>
      <c r="H41" s="19"/>
      <c r="J41" s="19"/>
    </row>
    <row r="42" spans="1:14" x14ac:dyDescent="0.25">
      <c r="E42" s="19"/>
      <c r="G42" s="19"/>
      <c r="H42" s="19"/>
      <c r="J42" s="19"/>
    </row>
    <row r="43" spans="1:14" x14ac:dyDescent="0.25">
      <c r="H43" s="19"/>
      <c r="J43" s="19"/>
    </row>
    <row r="44" spans="1:14" x14ac:dyDescent="0.25">
      <c r="H44" s="19"/>
      <c r="J44" s="19"/>
    </row>
    <row r="45" spans="1:14" x14ac:dyDescent="0.25">
      <c r="H45" s="19"/>
      <c r="J45" s="19"/>
    </row>
    <row r="49" spans="4:10" x14ac:dyDescent="0.25">
      <c r="H49" s="19"/>
      <c r="J49" s="19"/>
    </row>
    <row r="50" spans="4:10" x14ac:dyDescent="0.25">
      <c r="H50" s="19"/>
      <c r="J50" s="19"/>
    </row>
    <row r="51" spans="4:10" x14ac:dyDescent="0.25">
      <c r="H51" s="19"/>
      <c r="J51" s="19"/>
    </row>
    <row r="52" spans="4:10" x14ac:dyDescent="0.25">
      <c r="H52" s="19"/>
      <c r="J52" s="19"/>
    </row>
    <row r="53" spans="4:10" x14ac:dyDescent="0.25">
      <c r="E53" s="19"/>
      <c r="G53" s="19"/>
      <c r="H53" s="19"/>
      <c r="J53" s="19"/>
    </row>
    <row r="54" spans="4:10" x14ac:dyDescent="0.25">
      <c r="E54" s="19"/>
      <c r="G54" s="19"/>
      <c r="H54" s="19"/>
      <c r="J54" s="19"/>
    </row>
    <row r="55" spans="4:10" x14ac:dyDescent="0.25">
      <c r="E55" s="19"/>
      <c r="G55" s="19"/>
      <c r="H55" s="19"/>
      <c r="J55" s="19"/>
    </row>
    <row r="56" spans="4:10" x14ac:dyDescent="0.25">
      <c r="E56" s="19"/>
      <c r="G56" s="19"/>
      <c r="H56" s="19"/>
      <c r="J56" s="19"/>
    </row>
    <row r="57" spans="4:10" x14ac:dyDescent="0.25">
      <c r="D57" s="19"/>
      <c r="F57" s="19"/>
      <c r="H57" s="19"/>
      <c r="J57" s="19"/>
    </row>
    <row r="58" spans="4:10" x14ac:dyDescent="0.25">
      <c r="H58" s="19"/>
      <c r="J58" s="19"/>
    </row>
    <row r="59" spans="4:10" x14ac:dyDescent="0.25">
      <c r="H59" s="19"/>
      <c r="J59" s="19"/>
    </row>
    <row r="60" spans="4:10" x14ac:dyDescent="0.25">
      <c r="H60" s="19"/>
      <c r="J60" s="19"/>
    </row>
    <row r="61" spans="4:10" x14ac:dyDescent="0.25">
      <c r="H61" s="19"/>
      <c r="J61" s="19"/>
    </row>
    <row r="62" spans="4:10" x14ac:dyDescent="0.25">
      <c r="H62" s="19"/>
      <c r="J62" s="19"/>
    </row>
    <row r="63" spans="4:10" x14ac:dyDescent="0.25">
      <c r="E63" s="19"/>
      <c r="G63" s="19"/>
      <c r="H63" s="19"/>
      <c r="J63" s="19"/>
    </row>
    <row r="64" spans="4:10" x14ac:dyDescent="0.25">
      <c r="E64" s="19"/>
      <c r="G64" s="19"/>
      <c r="H64" s="19"/>
      <c r="J64" s="19"/>
    </row>
    <row r="65" spans="5:10" x14ac:dyDescent="0.25">
      <c r="E65" s="19"/>
      <c r="G65" s="19"/>
      <c r="H65" s="19"/>
      <c r="J65" s="19"/>
    </row>
    <row r="66" spans="5:10" x14ac:dyDescent="0.25">
      <c r="E66" s="19"/>
      <c r="G66" s="19"/>
      <c r="H66" s="19"/>
      <c r="J66" s="19"/>
    </row>
    <row r="67" spans="5:10" x14ac:dyDescent="0.25">
      <c r="E67" s="19"/>
      <c r="G67" s="19"/>
      <c r="H67" s="19"/>
      <c r="J67" s="19"/>
    </row>
    <row r="68" spans="5:10" x14ac:dyDescent="0.25">
      <c r="E68" s="19"/>
      <c r="G68" s="19"/>
      <c r="H68" s="19"/>
      <c r="J68" s="19"/>
    </row>
    <row r="69" spans="5:10" x14ac:dyDescent="0.25">
      <c r="E69" s="19"/>
      <c r="G69" s="19"/>
      <c r="H69" s="19"/>
      <c r="J69" s="19"/>
    </row>
    <row r="70" spans="5:10" x14ac:dyDescent="0.25">
      <c r="E70" s="19"/>
      <c r="G70" s="19"/>
      <c r="H70" s="19"/>
      <c r="J70" s="19"/>
    </row>
    <row r="71" spans="5:10" x14ac:dyDescent="0.25">
      <c r="E71" s="19"/>
      <c r="G71" s="19"/>
      <c r="H71" s="19"/>
      <c r="J71" s="19"/>
    </row>
    <row r="72" spans="5:10" x14ac:dyDescent="0.25">
      <c r="E72" s="19"/>
      <c r="G72" s="19"/>
      <c r="H72" s="19"/>
      <c r="J72" s="19"/>
    </row>
    <row r="73" spans="5:10" x14ac:dyDescent="0.25">
      <c r="E73" s="19"/>
      <c r="G73" s="19"/>
      <c r="H73" s="19"/>
      <c r="J73" s="19"/>
    </row>
    <row r="74" spans="5:10" x14ac:dyDescent="0.25">
      <c r="E74" s="19"/>
      <c r="G74" s="19"/>
      <c r="H74" s="19"/>
      <c r="J74" s="19"/>
    </row>
    <row r="75" spans="5:10" x14ac:dyDescent="0.25">
      <c r="E75" s="19"/>
      <c r="G75" s="19"/>
      <c r="H75" s="19"/>
      <c r="J75" s="19"/>
    </row>
    <row r="76" spans="5:10" x14ac:dyDescent="0.25">
      <c r="E76" s="19"/>
      <c r="G76" s="19"/>
      <c r="H76" s="19"/>
      <c r="J76" s="19"/>
    </row>
    <row r="77" spans="5:10" x14ac:dyDescent="0.25">
      <c r="E77" s="19"/>
      <c r="G77" s="19"/>
      <c r="H77" s="19"/>
      <c r="J77" s="19"/>
    </row>
    <row r="78" spans="5:10" x14ac:dyDescent="0.25">
      <c r="E78" s="19"/>
      <c r="G78" s="19"/>
      <c r="H78" s="19"/>
      <c r="J78" s="19"/>
    </row>
    <row r="79" spans="5:10" x14ac:dyDescent="0.25">
      <c r="E79" s="19"/>
      <c r="G79" s="19"/>
      <c r="H79" s="19"/>
      <c r="J79" s="19"/>
    </row>
    <row r="80" spans="5:10" x14ac:dyDescent="0.25">
      <c r="E80" s="19"/>
      <c r="G80" s="19"/>
      <c r="H80" s="19"/>
      <c r="J80" s="19"/>
    </row>
    <row r="81" spans="5:10" x14ac:dyDescent="0.25">
      <c r="E81" s="19"/>
      <c r="G81" s="19"/>
      <c r="H81" s="19"/>
      <c r="J81" s="19"/>
    </row>
    <row r="82" spans="5:10" x14ac:dyDescent="0.25">
      <c r="E82" s="19"/>
      <c r="G82" s="19"/>
      <c r="H82" s="19"/>
      <c r="J82" s="19"/>
    </row>
    <row r="83" spans="5:10" x14ac:dyDescent="0.25">
      <c r="E83" s="19"/>
      <c r="G83" s="19"/>
      <c r="H83" s="19"/>
      <c r="J83" s="19"/>
    </row>
    <row r="84" spans="5:10" x14ac:dyDescent="0.25">
      <c r="E84" s="19"/>
      <c r="G84" s="19"/>
      <c r="H84" s="19"/>
      <c r="J84" s="19"/>
    </row>
    <row r="85" spans="5:10" x14ac:dyDescent="0.25">
      <c r="E85" s="19"/>
      <c r="G85" s="19"/>
      <c r="H85" s="19"/>
      <c r="J85" s="19"/>
    </row>
    <row r="86" spans="5:10" x14ac:dyDescent="0.25">
      <c r="E86" s="19"/>
      <c r="G86" s="19"/>
      <c r="H86" s="19"/>
      <c r="J86" s="19"/>
    </row>
    <row r="87" spans="5:10" x14ac:dyDescent="0.25">
      <c r="E87" s="19"/>
      <c r="G87" s="19"/>
      <c r="H87" s="19"/>
      <c r="J87" s="19"/>
    </row>
    <row r="88" spans="5:10" x14ac:dyDescent="0.25">
      <c r="E88" s="19"/>
      <c r="G88" s="19"/>
      <c r="H88" s="19"/>
      <c r="J88" s="19"/>
    </row>
    <row r="89" spans="5:10" x14ac:dyDescent="0.25">
      <c r="H89" s="19"/>
      <c r="J89" s="19"/>
    </row>
    <row r="90" spans="5:10" x14ac:dyDescent="0.25">
      <c r="E90" s="19"/>
      <c r="G90" s="19"/>
      <c r="H90" s="19"/>
      <c r="J90" s="19"/>
    </row>
    <row r="91" spans="5:10" x14ac:dyDescent="0.25">
      <c r="E91" s="19"/>
      <c r="G91" s="19"/>
      <c r="H91" s="19"/>
      <c r="J91" s="19"/>
    </row>
    <row r="92" spans="5:10" x14ac:dyDescent="0.25">
      <c r="E92" s="19"/>
      <c r="G92" s="19"/>
      <c r="H92" s="19"/>
      <c r="J92" s="19"/>
    </row>
    <row r="93" spans="5:10" x14ac:dyDescent="0.25">
      <c r="E93" s="19"/>
      <c r="G93" s="19"/>
      <c r="H93" s="19"/>
      <c r="J93" s="19"/>
    </row>
    <row r="94" spans="5:10" x14ac:dyDescent="0.25">
      <c r="E94" s="19"/>
      <c r="G94" s="19"/>
      <c r="H94" s="19"/>
      <c r="J94" s="19"/>
    </row>
    <row r="95" spans="5:10" x14ac:dyDescent="0.25">
      <c r="E95" s="19"/>
      <c r="G95" s="19"/>
      <c r="H95" s="19"/>
      <c r="J95" s="19"/>
    </row>
    <row r="96" spans="5:10" x14ac:dyDescent="0.25">
      <c r="H96" s="19"/>
      <c r="J96" s="19"/>
    </row>
    <row r="97" spans="5:10" x14ac:dyDescent="0.25">
      <c r="H97" s="19"/>
      <c r="J97" s="19"/>
    </row>
    <row r="98" spans="5:10" x14ac:dyDescent="0.25">
      <c r="H98" s="19"/>
      <c r="J98" s="19"/>
    </row>
    <row r="99" spans="5:10" x14ac:dyDescent="0.25">
      <c r="H99" s="19"/>
      <c r="J99" s="19"/>
    </row>
    <row r="100" spans="5:10" x14ac:dyDescent="0.25">
      <c r="H100" s="19"/>
      <c r="J100" s="19"/>
    </row>
    <row r="101" spans="5:10" x14ac:dyDescent="0.25">
      <c r="H101" s="19"/>
      <c r="J101" s="19"/>
    </row>
    <row r="102" spans="5:10" x14ac:dyDescent="0.25">
      <c r="H102" s="19"/>
      <c r="J102" s="19"/>
    </row>
    <row r="103" spans="5:10" x14ac:dyDescent="0.25">
      <c r="E103" s="19"/>
      <c r="G103" s="19"/>
      <c r="H103" s="19"/>
      <c r="J103" s="19"/>
    </row>
    <row r="104" spans="5:10" x14ac:dyDescent="0.25">
      <c r="H104" s="19"/>
      <c r="J104" s="19"/>
    </row>
    <row r="105" spans="5:10" x14ac:dyDescent="0.25">
      <c r="H105" s="19"/>
      <c r="J105" s="19"/>
    </row>
    <row r="110" spans="5:10" x14ac:dyDescent="0.25">
      <c r="E110" s="19"/>
      <c r="G110" s="19"/>
      <c r="H110" s="19"/>
      <c r="J110" s="19"/>
    </row>
    <row r="111" spans="5:10" x14ac:dyDescent="0.25">
      <c r="E111" s="19"/>
      <c r="G111" s="19"/>
      <c r="H111" s="19"/>
      <c r="J111" s="19"/>
    </row>
    <row r="112" spans="5:10" x14ac:dyDescent="0.25">
      <c r="E112" s="19"/>
      <c r="G112" s="19"/>
    </row>
    <row r="113" spans="8:10" x14ac:dyDescent="0.25">
      <c r="H113" s="19"/>
      <c r="J113" s="19"/>
    </row>
    <row r="118" spans="8:10" x14ac:dyDescent="0.25">
      <c r="H118" s="19"/>
      <c r="J118" s="19"/>
    </row>
    <row r="126" spans="8:10" x14ac:dyDescent="0.25">
      <c r="H126" s="19"/>
      <c r="J126" s="19"/>
    </row>
    <row r="128" spans="8:10" x14ac:dyDescent="0.25">
      <c r="H128" s="19"/>
      <c r="J128" s="19"/>
    </row>
    <row r="129" spans="5:10" x14ac:dyDescent="0.25">
      <c r="H129" s="19"/>
      <c r="J129" s="19"/>
    </row>
    <row r="130" spans="5:10" x14ac:dyDescent="0.25">
      <c r="H130" s="19"/>
      <c r="J130" s="19"/>
    </row>
    <row r="131" spans="5:10" x14ac:dyDescent="0.25">
      <c r="H131" s="19"/>
      <c r="J131" s="19"/>
    </row>
    <row r="132" spans="5:10" x14ac:dyDescent="0.25">
      <c r="H132" s="19"/>
      <c r="J132" s="19"/>
    </row>
    <row r="133" spans="5:10" x14ac:dyDescent="0.25">
      <c r="E133" s="19"/>
      <c r="G133" s="19"/>
      <c r="H133" s="19"/>
      <c r="J133" s="19"/>
    </row>
    <row r="134" spans="5:10" x14ac:dyDescent="0.25">
      <c r="E134" s="19"/>
      <c r="G134" s="19"/>
      <c r="H134" s="19"/>
      <c r="J134" s="19"/>
    </row>
    <row r="135" spans="5:10" x14ac:dyDescent="0.25">
      <c r="E135" s="19"/>
      <c r="G135" s="19"/>
      <c r="H135" s="19"/>
      <c r="J135" s="19"/>
    </row>
    <row r="136" spans="5:10" x14ac:dyDescent="0.25">
      <c r="E136" s="19"/>
      <c r="G136" s="19"/>
      <c r="H136" s="19"/>
      <c r="J136" s="19"/>
    </row>
    <row r="137" spans="5:10" x14ac:dyDescent="0.25">
      <c r="H137" s="19"/>
      <c r="J137" s="19"/>
    </row>
    <row r="138" spans="5:10" x14ac:dyDescent="0.25">
      <c r="H138" s="19"/>
      <c r="J138" s="19"/>
    </row>
    <row r="139" spans="5:10" x14ac:dyDescent="0.25">
      <c r="H139" s="19"/>
      <c r="J139" s="19"/>
    </row>
    <row r="140" spans="5:10" x14ac:dyDescent="0.25">
      <c r="H140" s="19"/>
      <c r="J140" s="19"/>
    </row>
    <row r="141" spans="5:10" x14ac:dyDescent="0.25">
      <c r="H141" s="19"/>
      <c r="J141" s="19"/>
    </row>
    <row r="142" spans="5:10" x14ac:dyDescent="0.25">
      <c r="H142" s="19"/>
      <c r="J142" s="19"/>
    </row>
    <row r="143" spans="5:10" x14ac:dyDescent="0.25">
      <c r="H143" s="19"/>
      <c r="J143" s="19"/>
    </row>
    <row r="144" spans="5:10" x14ac:dyDescent="0.25">
      <c r="H144" s="19"/>
      <c r="J144" s="19"/>
    </row>
    <row r="148" spans="8:10" x14ac:dyDescent="0.25">
      <c r="H148" s="19"/>
      <c r="J148" s="19"/>
    </row>
    <row r="150" spans="8:10" x14ac:dyDescent="0.25">
      <c r="H150" s="19"/>
      <c r="J150" s="19"/>
    </row>
    <row r="154" spans="8:10" x14ac:dyDescent="0.25">
      <c r="H154" s="19"/>
      <c r="J154" s="19"/>
    </row>
    <row r="162" spans="8:10" x14ac:dyDescent="0.25">
      <c r="H162" s="19"/>
      <c r="J162" s="19"/>
    </row>
    <row r="163" spans="8:10" x14ac:dyDescent="0.25">
      <c r="H163" s="19"/>
      <c r="J163" s="19"/>
    </row>
    <row r="166" spans="8:10" x14ac:dyDescent="0.25">
      <c r="H166" s="19"/>
      <c r="J166" s="19"/>
    </row>
    <row r="172" spans="8:10" x14ac:dyDescent="0.25">
      <c r="H172" s="19"/>
      <c r="J172" s="19"/>
    </row>
    <row r="173" spans="8:10" x14ac:dyDescent="0.25">
      <c r="H173" s="19"/>
      <c r="J173" s="19"/>
    </row>
    <row r="174" spans="8:10" x14ac:dyDescent="0.25">
      <c r="H174" s="19"/>
      <c r="J174" s="19"/>
    </row>
    <row r="188" spans="8:10" x14ac:dyDescent="0.25">
      <c r="H188" s="19"/>
      <c r="J188" s="19"/>
    </row>
    <row r="203" spans="8:10" x14ac:dyDescent="0.25">
      <c r="H203" s="19"/>
      <c r="J203" s="19"/>
    </row>
    <row r="229" spans="8:10" x14ac:dyDescent="0.25">
      <c r="H229" s="19"/>
      <c r="J229" s="19"/>
    </row>
  </sheetData>
  <mergeCells count="7">
    <mergeCell ref="A1:L1"/>
    <mergeCell ref="B22:K22"/>
    <mergeCell ref="A3:K3"/>
    <mergeCell ref="A2:L2"/>
    <mergeCell ref="E23:F23"/>
    <mergeCell ref="G23:H23"/>
    <mergeCell ref="I23:J23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01" t="s">
        <v>53</v>
      </c>
      <c r="C8" s="202"/>
      <c r="D8" s="203"/>
      <c r="E8" s="91">
        <v>50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14" t="s">
        <v>54</v>
      </c>
      <c r="C8" s="215"/>
      <c r="D8" s="216"/>
      <c r="E8" s="91">
        <f>60+50+70+80</f>
        <v>260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14" t="s">
        <v>55</v>
      </c>
      <c r="C8" s="215"/>
      <c r="D8" s="216"/>
      <c r="E8" s="91">
        <v>150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2"/>
  <sheetViews>
    <sheetView topLeftCell="A2" workbookViewId="0">
      <selection activeCell="A2" sqref="A2"/>
    </sheetView>
  </sheetViews>
  <sheetFormatPr defaultRowHeight="15" x14ac:dyDescent="0.25"/>
  <cols>
    <col min="1" max="1" width="8.7109375" style="139"/>
    <col min="2" max="2" width="9.85546875" style="139" customWidth="1"/>
    <col min="3" max="3" width="12.28515625" customWidth="1"/>
    <col min="4" max="4" width="15.42578125" customWidth="1"/>
    <col min="5" max="5" width="12.42578125" customWidth="1"/>
    <col min="6" max="6" width="3.140625" customWidth="1"/>
    <col min="7" max="7" width="12.85546875" customWidth="1"/>
    <col min="8" max="8" width="12.5703125" customWidth="1"/>
    <col min="9" max="9" width="13.140625" customWidth="1"/>
    <col min="10" max="10" width="10.85546875" bestFit="1" customWidth="1"/>
  </cols>
  <sheetData>
    <row r="5" spans="1:16" x14ac:dyDescent="0.25">
      <c r="A5" s="139" t="s">
        <v>75</v>
      </c>
      <c r="C5" s="217" t="s">
        <v>97</v>
      </c>
      <c r="D5" s="217"/>
      <c r="E5" s="217"/>
      <c r="G5" s="217" t="s">
        <v>98</v>
      </c>
      <c r="H5" s="217"/>
      <c r="I5" s="217"/>
      <c r="J5" t="s">
        <v>99</v>
      </c>
    </row>
    <row r="6" spans="1:16" x14ac:dyDescent="0.25">
      <c r="B6" s="139" t="s">
        <v>86</v>
      </c>
      <c r="C6" s="139" t="s">
        <v>93</v>
      </c>
      <c r="D6" s="139" t="s">
        <v>95</v>
      </c>
      <c r="E6" s="139" t="s">
        <v>94</v>
      </c>
      <c r="G6" s="139" t="s">
        <v>93</v>
      </c>
      <c r="H6" s="139" t="s">
        <v>95</v>
      </c>
      <c r="I6" s="139" t="s">
        <v>94</v>
      </c>
    </row>
    <row r="7" spans="1:16" x14ac:dyDescent="0.25">
      <c r="A7" s="139">
        <v>2015</v>
      </c>
      <c r="B7" s="139">
        <v>3</v>
      </c>
      <c r="C7" s="138">
        <v>126153.65</v>
      </c>
      <c r="D7" s="138"/>
      <c r="E7" s="136">
        <f>+C7+D7</f>
        <v>126153.65</v>
      </c>
      <c r="G7" s="138">
        <v>126153.65</v>
      </c>
      <c r="H7" s="138"/>
      <c r="I7" s="136">
        <f>+G7+H7</f>
        <v>126153.65</v>
      </c>
      <c r="J7" s="136">
        <f>+E7-I7</f>
        <v>0</v>
      </c>
    </row>
    <row r="8" spans="1:16" x14ac:dyDescent="0.25">
      <c r="B8" s="139">
        <v>4</v>
      </c>
      <c r="C8" s="137">
        <f>+E7</f>
        <v>126153.65</v>
      </c>
      <c r="D8" s="138"/>
      <c r="E8" s="136">
        <f>+C8+D8</f>
        <v>126153.65</v>
      </c>
      <c r="G8" s="137">
        <f>+I7</f>
        <v>126153.65</v>
      </c>
      <c r="H8" s="138"/>
      <c r="I8" s="136">
        <f>+G8+H8</f>
        <v>126153.65</v>
      </c>
      <c r="J8" s="136">
        <f t="shared" ref="J8:J18" si="0">+E8-I8</f>
        <v>0</v>
      </c>
    </row>
    <row r="9" spans="1:16" x14ac:dyDescent="0.25">
      <c r="A9" s="139">
        <v>2016</v>
      </c>
      <c r="B9" s="139">
        <v>1</v>
      </c>
      <c r="C9" s="137">
        <f>+E8</f>
        <v>126153.65</v>
      </c>
      <c r="D9" s="138"/>
      <c r="E9" s="136">
        <f t="shared" ref="E9:E14" si="1">+C9+D9</f>
        <v>126153.65</v>
      </c>
      <c r="G9" s="137">
        <f>+I8</f>
        <v>126153.65</v>
      </c>
      <c r="H9" s="138"/>
      <c r="I9" s="136">
        <f t="shared" ref="I9:I18" si="2">+G9+H9</f>
        <v>126153.65</v>
      </c>
      <c r="J9" s="136">
        <f t="shared" si="0"/>
        <v>0</v>
      </c>
    </row>
    <row r="10" spans="1:16" x14ac:dyDescent="0.25">
      <c r="B10" s="139">
        <v>2</v>
      </c>
      <c r="C10" s="137">
        <f t="shared" ref="C10:C14" si="3">+E9</f>
        <v>126153.65</v>
      </c>
      <c r="D10" s="138"/>
      <c r="E10" s="136">
        <f t="shared" si="1"/>
        <v>126153.65</v>
      </c>
      <c r="G10" s="137">
        <f t="shared" ref="G10:G18" si="4">+I9</f>
        <v>126153.65</v>
      </c>
      <c r="H10" s="138"/>
      <c r="I10" s="136">
        <f t="shared" si="2"/>
        <v>126153.65</v>
      </c>
      <c r="J10" s="136">
        <f t="shared" si="0"/>
        <v>0</v>
      </c>
    </row>
    <row r="11" spans="1:16" x14ac:dyDescent="0.25">
      <c r="B11" s="139">
        <v>3</v>
      </c>
      <c r="C11" s="137">
        <f t="shared" si="3"/>
        <v>126153.65</v>
      </c>
      <c r="D11" s="138"/>
      <c r="E11" s="136">
        <f t="shared" si="1"/>
        <v>126153.65</v>
      </c>
      <c r="G11" s="137">
        <f t="shared" si="4"/>
        <v>126153.65</v>
      </c>
      <c r="H11" s="138"/>
      <c r="I11" s="136">
        <f t="shared" si="2"/>
        <v>126153.65</v>
      </c>
      <c r="J11" s="136">
        <f t="shared" si="0"/>
        <v>0</v>
      </c>
    </row>
    <row r="12" spans="1:16" x14ac:dyDescent="0.25">
      <c r="A12" s="139">
        <v>2017</v>
      </c>
      <c r="B12" s="139">
        <v>1</v>
      </c>
      <c r="C12" s="137">
        <f t="shared" si="3"/>
        <v>126153.65</v>
      </c>
      <c r="D12" s="138"/>
      <c r="E12" s="136">
        <f t="shared" si="1"/>
        <v>126153.65</v>
      </c>
      <c r="G12" s="137">
        <f t="shared" si="4"/>
        <v>126153.65</v>
      </c>
      <c r="H12" s="138"/>
      <c r="I12" s="136">
        <f t="shared" si="2"/>
        <v>126153.65</v>
      </c>
      <c r="J12" s="136">
        <f t="shared" si="0"/>
        <v>0</v>
      </c>
    </row>
    <row r="13" spans="1:16" x14ac:dyDescent="0.25">
      <c r="B13" s="139">
        <v>2</v>
      </c>
      <c r="C13" s="137">
        <f t="shared" si="3"/>
        <v>126153.65</v>
      </c>
      <c r="D13" s="138"/>
      <c r="E13" s="136">
        <f t="shared" si="1"/>
        <v>126153.65</v>
      </c>
      <c r="G13" s="137">
        <f t="shared" si="4"/>
        <v>126153.65</v>
      </c>
      <c r="H13" s="138"/>
      <c r="I13" s="136">
        <f t="shared" si="2"/>
        <v>126153.65</v>
      </c>
      <c r="J13" s="136">
        <f t="shared" si="0"/>
        <v>0</v>
      </c>
    </row>
    <row r="14" spans="1:16" x14ac:dyDescent="0.25">
      <c r="B14" s="139">
        <v>3</v>
      </c>
      <c r="C14" s="137">
        <f t="shared" si="3"/>
        <v>126153.65</v>
      </c>
      <c r="D14" s="138"/>
      <c r="E14" s="136">
        <f t="shared" si="1"/>
        <v>126153.65</v>
      </c>
      <c r="G14" s="137">
        <f t="shared" si="4"/>
        <v>126153.65</v>
      </c>
      <c r="H14" s="138"/>
      <c r="I14" s="136">
        <f t="shared" si="2"/>
        <v>126153.65</v>
      </c>
      <c r="J14" s="136">
        <f t="shared" si="0"/>
        <v>0</v>
      </c>
    </row>
    <row r="15" spans="1:16" x14ac:dyDescent="0.25">
      <c r="A15" s="139">
        <v>2018</v>
      </c>
      <c r="B15" s="139">
        <v>1</v>
      </c>
      <c r="C15" s="137">
        <f t="shared" ref="C15:C19" si="5">+E14</f>
        <v>126153.65</v>
      </c>
      <c r="D15" s="138">
        <v>10</v>
      </c>
      <c r="E15" s="136">
        <f t="shared" ref="E15:E19" si="6">+C15+D15</f>
        <v>126163.65</v>
      </c>
      <c r="G15" s="137">
        <f t="shared" si="4"/>
        <v>126153.65</v>
      </c>
      <c r="H15" s="138"/>
      <c r="I15" s="136">
        <f t="shared" si="2"/>
        <v>126153.65</v>
      </c>
      <c r="J15" s="136">
        <f t="shared" si="0"/>
        <v>10</v>
      </c>
      <c r="P15">
        <v>7</v>
      </c>
    </row>
    <row r="16" spans="1:16" x14ac:dyDescent="0.25">
      <c r="B16" s="139">
        <v>4</v>
      </c>
      <c r="C16" s="137">
        <f t="shared" si="5"/>
        <v>126163.65</v>
      </c>
      <c r="D16" s="138">
        <f>70+25</f>
        <v>95</v>
      </c>
      <c r="E16" s="136">
        <f t="shared" si="6"/>
        <v>126258.65</v>
      </c>
      <c r="G16" s="137">
        <f t="shared" si="4"/>
        <v>126153.65</v>
      </c>
      <c r="H16" s="138">
        <v>70</v>
      </c>
      <c r="I16" s="138">
        <f>+G16</f>
        <v>126153.65</v>
      </c>
      <c r="J16" s="136">
        <f t="shared" si="0"/>
        <v>105</v>
      </c>
      <c r="P16">
        <v>9</v>
      </c>
    </row>
    <row r="17" spans="1:16" x14ac:dyDescent="0.25">
      <c r="A17" s="139">
        <v>2019</v>
      </c>
      <c r="B17" s="140" t="s">
        <v>96</v>
      </c>
      <c r="C17" s="137">
        <f t="shared" si="5"/>
        <v>126258.65</v>
      </c>
      <c r="D17" s="138">
        <v>2930</v>
      </c>
      <c r="E17" s="136">
        <f t="shared" si="6"/>
        <v>129188.65</v>
      </c>
      <c r="G17" s="137">
        <f t="shared" si="4"/>
        <v>126153.65</v>
      </c>
      <c r="H17" s="138">
        <f>129258.65-70-126153.65</f>
        <v>3035</v>
      </c>
      <c r="I17" s="136">
        <f t="shared" si="2"/>
        <v>129188.65</v>
      </c>
      <c r="J17" s="136">
        <f t="shared" si="0"/>
        <v>0</v>
      </c>
      <c r="P17">
        <v>7</v>
      </c>
    </row>
    <row r="18" spans="1:16" x14ac:dyDescent="0.25">
      <c r="B18" s="139">
        <v>3</v>
      </c>
      <c r="C18" s="137">
        <f t="shared" si="5"/>
        <v>129188.65</v>
      </c>
      <c r="D18" s="138">
        <v>70</v>
      </c>
      <c r="E18" s="136">
        <f t="shared" si="6"/>
        <v>129258.65</v>
      </c>
      <c r="G18" s="137">
        <f t="shared" si="4"/>
        <v>129188.65</v>
      </c>
      <c r="H18" s="138">
        <v>70</v>
      </c>
      <c r="I18" s="136">
        <f t="shared" si="2"/>
        <v>129258.65</v>
      </c>
      <c r="J18" s="136">
        <f t="shared" si="0"/>
        <v>0</v>
      </c>
      <c r="P18">
        <v>1.4</v>
      </c>
    </row>
    <row r="19" spans="1:16" x14ac:dyDescent="0.25">
      <c r="B19" s="139">
        <v>4</v>
      </c>
      <c r="C19" s="137">
        <f t="shared" si="5"/>
        <v>129258.65</v>
      </c>
      <c r="D19" s="138">
        <v>25</v>
      </c>
      <c r="E19" s="136">
        <f t="shared" si="6"/>
        <v>129283.65</v>
      </c>
      <c r="G19" s="137"/>
      <c r="H19" s="138"/>
      <c r="I19" s="136"/>
      <c r="J19" s="136"/>
      <c r="P19">
        <v>1.75</v>
      </c>
    </row>
    <row r="21" spans="1:16" x14ac:dyDescent="0.25">
      <c r="C21" t="s">
        <v>100</v>
      </c>
    </row>
    <row r="22" spans="1:16" x14ac:dyDescent="0.25">
      <c r="C22" s="136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E8"/>
  <sheetViews>
    <sheetView showGridLines="0" workbookViewId="0"/>
  </sheetViews>
  <sheetFormatPr defaultColWidth="8.7109375" defaultRowHeight="15" x14ac:dyDescent="0.25"/>
  <cols>
    <col min="1" max="1" width="8.7109375" style="1"/>
    <col min="2" max="2" width="14.5703125" style="1" customWidth="1"/>
    <col min="3" max="3" width="9.42578125" style="1" bestFit="1" customWidth="1"/>
    <col min="4" max="4" width="8.7109375" style="1"/>
    <col min="5" max="5" width="16" style="1" customWidth="1"/>
    <col min="6" max="16384" width="8.7109375" style="1"/>
  </cols>
  <sheetData>
    <row r="3" spans="1:5" ht="15.75" x14ac:dyDescent="0.25">
      <c r="A3" s="44" t="s">
        <v>13</v>
      </c>
      <c r="B3" s="47">
        <v>2020</v>
      </c>
    </row>
    <row r="4" spans="1:5" ht="15.75" x14ac:dyDescent="0.25">
      <c r="A4" s="44"/>
      <c r="B4" s="47"/>
    </row>
    <row r="5" spans="1:5" ht="15.75" x14ac:dyDescent="0.25">
      <c r="A5" s="44" t="s">
        <v>41</v>
      </c>
    </row>
    <row r="6" spans="1:5" ht="15.75" x14ac:dyDescent="0.25">
      <c r="A6" s="44" t="s">
        <v>86</v>
      </c>
      <c r="B6" s="47">
        <v>4</v>
      </c>
      <c r="C6" s="1" t="str">
        <f>VLOOKUP(CurrQtr,LKQtr,2)&amp;" - "&amp;VLOOKUP(CurrQtr,LKQtr,4)</f>
        <v>October - December</v>
      </c>
    </row>
    <row r="8" spans="1:5" x14ac:dyDescent="0.25">
      <c r="A8" s="1" t="s">
        <v>84</v>
      </c>
      <c r="E8" s="129">
        <v>0.15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8"/>
  <sheetViews>
    <sheetView showGridLines="0" tabSelected="1" zoomScale="80" zoomScaleNormal="80" workbookViewId="0">
      <selection activeCell="F23" sqref="F23"/>
    </sheetView>
  </sheetViews>
  <sheetFormatPr defaultColWidth="8.7109375" defaultRowHeight="15" x14ac:dyDescent="0.25"/>
  <cols>
    <col min="1" max="1" width="3.42578125" style="2" customWidth="1"/>
    <col min="2" max="2" width="13.28515625" style="2" customWidth="1"/>
    <col min="3" max="3" width="9.42578125" style="2" hidden="1" customWidth="1"/>
    <col min="4" max="4" width="12.5703125" style="95" customWidth="1"/>
    <col min="5" max="5" width="32.85546875" style="95" customWidth="1"/>
    <col min="6" max="6" width="10.140625" style="2" customWidth="1"/>
    <col min="7" max="7" width="35.42578125" style="2" customWidth="1"/>
    <col min="8" max="8" width="15.85546875" style="10" customWidth="1"/>
    <col min="9" max="9" width="16" style="2" customWidth="1"/>
    <col min="10" max="10" width="43.7109375" style="79" customWidth="1"/>
    <col min="11" max="11" width="9.140625" style="2" bestFit="1" customWidth="1"/>
    <col min="12" max="16384" width="8.7109375" style="2"/>
  </cols>
  <sheetData>
    <row r="1" spans="1:12" s="20" customFormat="1" ht="20.25" x14ac:dyDescent="0.25">
      <c r="A1" s="172" t="s">
        <v>78</v>
      </c>
      <c r="B1" s="172"/>
      <c r="C1" s="172"/>
      <c r="D1" s="172"/>
      <c r="E1" s="172"/>
      <c r="F1" s="172"/>
      <c r="G1" s="172"/>
      <c r="H1" s="172"/>
      <c r="I1" s="172"/>
      <c r="J1" s="172"/>
      <c r="K1" s="141"/>
      <c r="L1" s="141"/>
    </row>
    <row r="2" spans="1:12" s="20" customFormat="1" ht="20.25" x14ac:dyDescent="0.25">
      <c r="A2" s="172" t="s">
        <v>79</v>
      </c>
      <c r="B2" s="172"/>
      <c r="C2" s="172"/>
      <c r="D2" s="172"/>
      <c r="E2" s="172"/>
      <c r="F2" s="172"/>
      <c r="G2" s="172"/>
      <c r="H2" s="172"/>
      <c r="I2" s="172"/>
      <c r="J2" s="172"/>
      <c r="K2" s="141"/>
      <c r="L2" s="141"/>
    </row>
    <row r="3" spans="1:12" ht="23.25" x14ac:dyDescent="0.25">
      <c r="B3" s="175" t="str">
        <f>+'Top Level'!B3&amp;" Detail of Transactions"</f>
        <v>2020 Detail of Transactions</v>
      </c>
      <c r="C3" s="175"/>
      <c r="D3" s="175"/>
      <c r="E3" s="175"/>
      <c r="F3" s="175"/>
      <c r="G3" s="175"/>
      <c r="H3" s="175"/>
      <c r="I3" s="175"/>
      <c r="J3" s="175"/>
    </row>
    <row r="4" spans="1:12" ht="11.45" customHeight="1" x14ac:dyDescent="0.25">
      <c r="B4" s="176"/>
      <c r="C4" s="176"/>
      <c r="D4" s="176"/>
      <c r="E4" s="176"/>
      <c r="F4" s="176"/>
      <c r="G4" s="176"/>
      <c r="H4" s="176"/>
      <c r="I4" s="176"/>
      <c r="J4" s="176"/>
    </row>
    <row r="5" spans="1:12" ht="22.5" customHeight="1" x14ac:dyDescent="0.25">
      <c r="B5" s="178" t="s">
        <v>17</v>
      </c>
      <c r="C5" s="178" t="s">
        <v>65</v>
      </c>
      <c r="D5" s="178" t="s">
        <v>62</v>
      </c>
      <c r="E5" s="178" t="s">
        <v>63</v>
      </c>
      <c r="F5" s="178" t="s">
        <v>14</v>
      </c>
      <c r="G5" s="178" t="s">
        <v>15</v>
      </c>
      <c r="H5" s="177" t="s">
        <v>66</v>
      </c>
      <c r="I5" s="177"/>
      <c r="J5" s="55"/>
    </row>
    <row r="6" spans="1:12" ht="29.1" customHeight="1" x14ac:dyDescent="0.25">
      <c r="B6" s="179"/>
      <c r="C6" s="179"/>
      <c r="D6" s="179"/>
      <c r="E6" s="179"/>
      <c r="F6" s="179"/>
      <c r="G6" s="179"/>
      <c r="H6" s="73" t="s">
        <v>5</v>
      </c>
      <c r="I6" s="73" t="s">
        <v>7</v>
      </c>
      <c r="J6" s="80" t="s">
        <v>2</v>
      </c>
    </row>
    <row r="7" spans="1:12" s="10" customFormat="1" x14ac:dyDescent="0.25">
      <c r="B7" s="74" t="s">
        <v>18</v>
      </c>
      <c r="C7" s="75"/>
      <c r="D7" s="103">
        <v>1000</v>
      </c>
      <c r="E7" s="54" t="str">
        <f t="shared" ref="E7:E30" si="0">IF($D7="","",VLOOKUP($D7,Chart,2))</f>
        <v>Fidelity Investments</v>
      </c>
      <c r="F7" s="102">
        <v>4020</v>
      </c>
      <c r="G7" s="54" t="str">
        <f t="shared" ref="G7:G30" si="1">IF($F7="","",VLOOKUP($F7,Chart,2))</f>
        <v>Change in Investment Value</v>
      </c>
      <c r="H7" s="11"/>
      <c r="I7" s="11">
        <v>1209.28</v>
      </c>
      <c r="J7" s="150" t="s">
        <v>101</v>
      </c>
    </row>
    <row r="8" spans="1:12" s="10" customFormat="1" x14ac:dyDescent="0.25">
      <c r="B8" s="149" t="s">
        <v>19</v>
      </c>
      <c r="C8" s="75"/>
      <c r="D8" s="102">
        <v>1000</v>
      </c>
      <c r="E8" s="54" t="str">
        <f t="shared" si="0"/>
        <v>Fidelity Investments</v>
      </c>
      <c r="F8" s="102">
        <v>4020</v>
      </c>
      <c r="G8" s="54" t="str">
        <f t="shared" si="1"/>
        <v>Change in Investment Value</v>
      </c>
      <c r="H8" s="11"/>
      <c r="I8" s="11">
        <v>5731.31</v>
      </c>
      <c r="J8" s="150" t="s">
        <v>101</v>
      </c>
    </row>
    <row r="9" spans="1:12" s="10" customFormat="1" x14ac:dyDescent="0.25">
      <c r="B9" s="149" t="s">
        <v>20</v>
      </c>
      <c r="C9" s="75"/>
      <c r="D9" s="102">
        <v>1000</v>
      </c>
      <c r="E9" s="54" t="str">
        <f t="shared" si="0"/>
        <v>Fidelity Investments</v>
      </c>
      <c r="F9" s="102">
        <v>4020</v>
      </c>
      <c r="G9" s="54" t="str">
        <f t="shared" si="1"/>
        <v>Change in Investment Value</v>
      </c>
      <c r="H9" s="11"/>
      <c r="I9" s="11">
        <v>14881.01</v>
      </c>
      <c r="J9" s="150" t="s">
        <v>101</v>
      </c>
    </row>
    <row r="10" spans="1:12" s="10" customFormat="1" x14ac:dyDescent="0.25">
      <c r="B10" s="149" t="s">
        <v>21</v>
      </c>
      <c r="C10" s="75"/>
      <c r="D10" s="102">
        <v>1000</v>
      </c>
      <c r="E10" s="54" t="str">
        <f t="shared" si="0"/>
        <v>Fidelity Investments</v>
      </c>
      <c r="F10" s="102">
        <v>4020</v>
      </c>
      <c r="G10" s="54" t="str">
        <f t="shared" si="1"/>
        <v>Change in Investment Value</v>
      </c>
      <c r="H10" s="11">
        <v>9259.48</v>
      </c>
      <c r="I10" s="11"/>
      <c r="J10" s="150" t="s">
        <v>101</v>
      </c>
    </row>
    <row r="11" spans="1:12" s="10" customFormat="1" x14ac:dyDescent="0.25">
      <c r="B11" s="149" t="s">
        <v>22</v>
      </c>
      <c r="C11" s="75"/>
      <c r="D11" s="102">
        <v>1000</v>
      </c>
      <c r="E11" s="54" t="str">
        <f t="shared" si="0"/>
        <v>Fidelity Investments</v>
      </c>
      <c r="F11" s="102">
        <v>5000</v>
      </c>
      <c r="G11" s="54" t="str">
        <f t="shared" si="1"/>
        <v>Grants</v>
      </c>
      <c r="H11" s="11"/>
      <c r="I11" s="11">
        <v>1750</v>
      </c>
      <c r="J11" s="150" t="s">
        <v>104</v>
      </c>
    </row>
    <row r="12" spans="1:12" s="10" customFormat="1" x14ac:dyDescent="0.25">
      <c r="B12" s="149" t="s">
        <v>22</v>
      </c>
      <c r="C12" s="75"/>
      <c r="D12" s="102">
        <v>1000</v>
      </c>
      <c r="E12" s="54" t="str">
        <f t="shared" si="0"/>
        <v>Fidelity Investments</v>
      </c>
      <c r="F12" s="102">
        <v>4020</v>
      </c>
      <c r="G12" s="54" t="str">
        <f t="shared" si="1"/>
        <v>Change in Investment Value</v>
      </c>
      <c r="H12" s="11">
        <v>5080.91</v>
      </c>
      <c r="I12" s="11"/>
      <c r="J12" s="150" t="s">
        <v>101</v>
      </c>
    </row>
    <row r="13" spans="1:12" s="10" customFormat="1" x14ac:dyDescent="0.25">
      <c r="B13" s="149" t="s">
        <v>23</v>
      </c>
      <c r="C13" s="75"/>
      <c r="D13" s="102">
        <v>1000</v>
      </c>
      <c r="E13" s="54" t="str">
        <f t="shared" si="0"/>
        <v>Fidelity Investments</v>
      </c>
      <c r="F13" s="102">
        <v>4020</v>
      </c>
      <c r="G13" s="54" t="str">
        <f t="shared" si="1"/>
        <v>Change in Investment Value</v>
      </c>
      <c r="H13" s="11">
        <v>4019.67</v>
      </c>
      <c r="I13" s="11"/>
      <c r="J13" s="150" t="s">
        <v>101</v>
      </c>
    </row>
    <row r="14" spans="1:12" s="10" customFormat="1" x14ac:dyDescent="0.25">
      <c r="B14" s="149" t="s">
        <v>24</v>
      </c>
      <c r="C14" s="146"/>
      <c r="D14" s="148">
        <v>1000</v>
      </c>
      <c r="E14" s="144" t="str">
        <f t="shared" si="0"/>
        <v>Fidelity Investments</v>
      </c>
      <c r="F14" s="148">
        <v>4020</v>
      </c>
      <c r="G14" s="144" t="str">
        <f t="shared" si="1"/>
        <v>Change in Investment Value</v>
      </c>
      <c r="H14" s="143">
        <v>5806.2</v>
      </c>
      <c r="I14" s="143"/>
      <c r="J14" s="150" t="s">
        <v>101</v>
      </c>
      <c r="K14" s="142"/>
    </row>
    <row r="15" spans="1:12" s="10" customFormat="1" x14ac:dyDescent="0.25">
      <c r="B15" s="149" t="s">
        <v>25</v>
      </c>
      <c r="C15" s="146"/>
      <c r="D15" s="148">
        <v>1000</v>
      </c>
      <c r="E15" s="144" t="str">
        <f t="shared" si="0"/>
        <v>Fidelity Investments</v>
      </c>
      <c r="F15" s="148">
        <v>4020</v>
      </c>
      <c r="G15" s="144" t="str">
        <f t="shared" si="1"/>
        <v>Change in Investment Value</v>
      </c>
      <c r="H15" s="143">
        <v>5359.56</v>
      </c>
      <c r="I15" s="143"/>
      <c r="J15" s="150" t="s">
        <v>101</v>
      </c>
      <c r="K15" s="142"/>
    </row>
    <row r="16" spans="1:12" s="10" customFormat="1" x14ac:dyDescent="0.25">
      <c r="B16" s="149" t="s">
        <v>26</v>
      </c>
      <c r="C16" s="146"/>
      <c r="D16" s="148">
        <v>1000</v>
      </c>
      <c r="E16" s="144" t="str">
        <f t="shared" si="0"/>
        <v>Fidelity Investments</v>
      </c>
      <c r="F16" s="148">
        <v>4020</v>
      </c>
      <c r="G16" s="144" t="str">
        <f t="shared" si="1"/>
        <v>Change in Investment Value</v>
      </c>
      <c r="H16" s="143"/>
      <c r="I16" s="143">
        <v>2456.46</v>
      </c>
      <c r="J16" s="150" t="s">
        <v>101</v>
      </c>
    </row>
    <row r="17" spans="2:10" s="10" customFormat="1" x14ac:dyDescent="0.25">
      <c r="B17" s="74" t="s">
        <v>27</v>
      </c>
      <c r="C17" s="75"/>
      <c r="D17" s="102">
        <v>1000</v>
      </c>
      <c r="E17" s="54" t="s">
        <v>57</v>
      </c>
      <c r="F17" s="102">
        <v>4020</v>
      </c>
      <c r="G17" s="54" t="str">
        <f t="shared" si="1"/>
        <v>Change in Investment Value</v>
      </c>
      <c r="H17" s="11"/>
      <c r="I17" s="11">
        <v>1674.87</v>
      </c>
      <c r="J17" s="147" t="s">
        <v>101</v>
      </c>
    </row>
    <row r="18" spans="2:10" s="10" customFormat="1" x14ac:dyDescent="0.25">
      <c r="B18" s="74" t="s">
        <v>28</v>
      </c>
      <c r="C18" s="75"/>
      <c r="D18" s="102">
        <v>1000</v>
      </c>
      <c r="E18" s="54" t="str">
        <f t="shared" si="0"/>
        <v>Fidelity Investments</v>
      </c>
      <c r="F18" s="102">
        <v>5000</v>
      </c>
      <c r="G18" s="54" t="str">
        <f t="shared" si="1"/>
        <v>Grants</v>
      </c>
      <c r="H18" s="11"/>
      <c r="I18" s="11">
        <v>2000</v>
      </c>
      <c r="J18" s="147" t="s">
        <v>106</v>
      </c>
    </row>
    <row r="19" spans="2:10" s="10" customFormat="1" x14ac:dyDescent="0.25">
      <c r="B19" s="74" t="s">
        <v>28</v>
      </c>
      <c r="C19" s="75"/>
      <c r="D19" s="102">
        <v>1000</v>
      </c>
      <c r="E19" s="54" t="str">
        <f t="shared" si="0"/>
        <v>Fidelity Investments</v>
      </c>
      <c r="F19" s="102">
        <v>5000</v>
      </c>
      <c r="G19" s="54" t="str">
        <f t="shared" si="1"/>
        <v>Grants</v>
      </c>
      <c r="H19" s="11"/>
      <c r="I19" s="11">
        <v>1000</v>
      </c>
      <c r="J19" s="147" t="s">
        <v>105</v>
      </c>
    </row>
    <row r="20" spans="2:10" s="10" customFormat="1" x14ac:dyDescent="0.25">
      <c r="B20" s="74" t="s">
        <v>28</v>
      </c>
      <c r="C20" s="75"/>
      <c r="D20" s="102">
        <v>1000</v>
      </c>
      <c r="E20" s="54" t="str">
        <f t="shared" si="0"/>
        <v>Fidelity Investments</v>
      </c>
      <c r="F20" s="102">
        <v>5000</v>
      </c>
      <c r="G20" s="54" t="str">
        <f t="shared" si="1"/>
        <v>Grants</v>
      </c>
      <c r="H20" s="11"/>
      <c r="I20" s="11">
        <v>1000</v>
      </c>
      <c r="J20" s="147" t="s">
        <v>107</v>
      </c>
    </row>
    <row r="21" spans="2:10" s="10" customFormat="1" x14ac:dyDescent="0.25">
      <c r="B21" s="74" t="s">
        <v>28</v>
      </c>
      <c r="C21" s="75"/>
      <c r="D21" s="102">
        <v>1000</v>
      </c>
      <c r="E21" s="54" t="str">
        <f t="shared" si="0"/>
        <v>Fidelity Investments</v>
      </c>
      <c r="F21" s="102">
        <v>5000</v>
      </c>
      <c r="G21" s="54" t="s">
        <v>43</v>
      </c>
      <c r="H21" s="11"/>
      <c r="I21" s="11">
        <v>1000</v>
      </c>
      <c r="J21" s="147" t="s">
        <v>108</v>
      </c>
    </row>
    <row r="22" spans="2:10" s="10" customFormat="1" x14ac:dyDescent="0.25">
      <c r="B22" s="74" t="s">
        <v>16</v>
      </c>
      <c r="C22" s="75"/>
      <c r="D22" s="102">
        <v>1000</v>
      </c>
      <c r="E22" s="54" t="str">
        <f t="shared" si="0"/>
        <v>Fidelity Investments</v>
      </c>
      <c r="F22" s="102">
        <v>4020</v>
      </c>
      <c r="G22" s="54" t="str">
        <f t="shared" si="1"/>
        <v>Change in Investment Value</v>
      </c>
      <c r="H22" s="11">
        <v>12840.63</v>
      </c>
      <c r="I22" s="11"/>
      <c r="J22" s="147" t="s">
        <v>101</v>
      </c>
    </row>
    <row r="23" spans="2:10" s="10" customFormat="1" x14ac:dyDescent="0.25">
      <c r="B23" s="74" t="s">
        <v>28</v>
      </c>
      <c r="C23" s="75"/>
      <c r="D23" s="102">
        <v>1000</v>
      </c>
      <c r="E23" s="54" t="str">
        <f t="shared" si="0"/>
        <v>Fidelity Investments</v>
      </c>
      <c r="F23" s="102">
        <v>4020</v>
      </c>
      <c r="G23" s="54" t="str">
        <f t="shared" si="1"/>
        <v>Change in Investment Value</v>
      </c>
      <c r="H23" s="11">
        <v>6230.85</v>
      </c>
      <c r="I23" s="11"/>
      <c r="J23" s="147" t="s">
        <v>101</v>
      </c>
    </row>
    <row r="24" spans="2:10" s="10" customFormat="1" x14ac:dyDescent="0.25">
      <c r="B24" s="74"/>
      <c r="C24" s="75"/>
      <c r="D24" s="102"/>
      <c r="E24" s="54" t="str">
        <f t="shared" si="0"/>
        <v/>
      </c>
      <c r="F24" s="102"/>
      <c r="G24" s="54" t="str">
        <f t="shared" si="1"/>
        <v/>
      </c>
      <c r="H24" s="11"/>
      <c r="I24" s="11"/>
      <c r="J24" s="147"/>
    </row>
    <row r="25" spans="2:10" s="10" customFormat="1" x14ac:dyDescent="0.25">
      <c r="B25" s="74"/>
      <c r="C25" s="75"/>
      <c r="D25" s="102"/>
      <c r="E25" s="54" t="str">
        <f t="shared" si="0"/>
        <v/>
      </c>
      <c r="F25" s="102"/>
      <c r="G25" s="54" t="str">
        <f t="shared" si="1"/>
        <v/>
      </c>
      <c r="H25" s="11"/>
      <c r="I25" s="11"/>
      <c r="J25" s="147"/>
    </row>
    <row r="26" spans="2:10" s="10" customFormat="1" x14ac:dyDescent="0.25">
      <c r="B26" s="74"/>
      <c r="C26" s="75"/>
      <c r="D26" s="102"/>
      <c r="E26" s="54" t="str">
        <f t="shared" si="0"/>
        <v/>
      </c>
      <c r="F26" s="102"/>
      <c r="G26" s="54" t="str">
        <f t="shared" si="1"/>
        <v/>
      </c>
      <c r="H26" s="11"/>
      <c r="I26" s="11"/>
      <c r="J26" s="147"/>
    </row>
    <row r="27" spans="2:10" s="142" customFormat="1" x14ac:dyDescent="0.25">
      <c r="B27" s="145"/>
      <c r="C27" s="146"/>
      <c r="D27" s="148"/>
      <c r="E27" s="144"/>
      <c r="F27" s="148"/>
      <c r="G27" s="144"/>
      <c r="H27" s="143"/>
      <c r="I27" s="143"/>
      <c r="J27" s="147"/>
    </row>
    <row r="28" spans="2:10" s="142" customFormat="1" x14ac:dyDescent="0.25">
      <c r="B28" s="145"/>
      <c r="C28" s="146"/>
      <c r="D28" s="148"/>
      <c r="E28" s="144"/>
      <c r="F28" s="148"/>
      <c r="G28" s="144"/>
      <c r="H28" s="143"/>
      <c r="I28" s="143"/>
      <c r="J28" s="147"/>
    </row>
    <row r="29" spans="2:10" s="142" customFormat="1" x14ac:dyDescent="0.25">
      <c r="B29" s="145"/>
      <c r="C29" s="146"/>
      <c r="D29" s="148"/>
      <c r="E29" s="144"/>
      <c r="F29" s="148"/>
      <c r="G29" s="144"/>
      <c r="H29" s="143"/>
      <c r="I29" s="143"/>
      <c r="J29" s="147"/>
    </row>
    <row r="30" spans="2:10" s="10" customFormat="1" x14ac:dyDescent="0.25">
      <c r="B30" s="74"/>
      <c r="C30" s="75" t="str">
        <f t="shared" ref="C30" si="2">IF(B30="","",VLOOKUP(B30,LKMonthName,2,0))</f>
        <v/>
      </c>
      <c r="D30" s="102"/>
      <c r="E30" s="54" t="str">
        <f t="shared" si="0"/>
        <v/>
      </c>
      <c r="F30" s="102"/>
      <c r="G30" s="54" t="str">
        <f t="shared" si="1"/>
        <v/>
      </c>
      <c r="H30" s="12"/>
      <c r="I30" s="12"/>
      <c r="J30" s="76"/>
    </row>
    <row r="31" spans="2:10" ht="6.6" customHeight="1" x14ac:dyDescent="0.25">
      <c r="B31" s="48"/>
      <c r="C31" s="50"/>
      <c r="D31" s="50"/>
      <c r="E31" s="50"/>
      <c r="F31" s="51"/>
      <c r="G31" s="52"/>
      <c r="H31" s="53"/>
      <c r="I31" s="53"/>
      <c r="J31" s="77"/>
    </row>
    <row r="32" spans="2:10" ht="15.75" x14ac:dyDescent="0.25">
      <c r="B32" s="4"/>
      <c r="C32" s="4"/>
      <c r="D32" s="4"/>
      <c r="E32" s="4"/>
      <c r="F32" s="4"/>
      <c r="G32" s="4"/>
      <c r="H32" s="13">
        <f>SUBTOTAL(9,H7:H31)</f>
        <v>48597.299999999996</v>
      </c>
      <c r="I32" s="13">
        <f>SUBTOTAL(9,I7:I31)</f>
        <v>32702.929999999997</v>
      </c>
      <c r="J32" s="78"/>
    </row>
    <row r="35" spans="8:9" x14ac:dyDescent="0.25">
      <c r="H35" s="95"/>
    </row>
    <row r="48" spans="8:9" x14ac:dyDescent="0.25">
      <c r="I48" s="10"/>
    </row>
  </sheetData>
  <autoFilter ref="B6:J30"/>
  <mergeCells count="11">
    <mergeCell ref="A2:J2"/>
    <mergeCell ref="A1:J1"/>
    <mergeCell ref="B3:J3"/>
    <mergeCell ref="B4:J4"/>
    <mergeCell ref="H5:I5"/>
    <mergeCell ref="C5:C6"/>
    <mergeCell ref="D5:D6"/>
    <mergeCell ref="F5:F6"/>
    <mergeCell ref="G5:G6"/>
    <mergeCell ref="E5:E6"/>
    <mergeCell ref="B5:B6"/>
  </mergeCells>
  <dataValidations count="3">
    <dataValidation type="list" allowBlank="1" showInputMessage="1" showErrorMessage="1" sqref="F31">
      <formula1>AcctNumber</formula1>
    </dataValidation>
    <dataValidation type="list" allowBlank="1" showInputMessage="1" showErrorMessage="1" sqref="F7:F30">
      <formula1>Accounts</formula1>
    </dataValidation>
    <dataValidation type="list" allowBlank="1" showInputMessage="1" showErrorMessage="1" sqref="B31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'Chart of Accounts'!$G$11:$G$22</xm:f>
          </x14:formula1>
          <xm:sqref>B7:B30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R159"/>
  <sheetViews>
    <sheetView showGridLines="0" workbookViewId="0">
      <selection activeCell="A4" sqref="A4:H4"/>
    </sheetView>
  </sheetViews>
  <sheetFormatPr defaultColWidth="8.7109375" defaultRowHeight="15" x14ac:dyDescent="0.25"/>
  <cols>
    <col min="1" max="1" width="25.85546875" style="2" customWidth="1"/>
    <col min="2" max="2" width="6.28515625" style="95" hidden="1" customWidth="1"/>
    <col min="3" max="3" width="14.28515625" style="1" customWidth="1"/>
    <col min="4" max="4" width="14.5703125" style="1" customWidth="1"/>
    <col min="5" max="5" width="16.5703125" style="1" customWidth="1"/>
    <col min="6" max="6" width="14.140625" style="1" customWidth="1"/>
    <col min="7" max="7" width="13.85546875" style="1" customWidth="1"/>
    <col min="8" max="8" width="16.5703125" style="1" customWidth="1"/>
    <col min="9" max="10" width="12.7109375" style="1" customWidth="1"/>
    <col min="11" max="11" width="16.5703125" style="1" customWidth="1"/>
    <col min="12" max="12" width="2.140625" style="1" customWidth="1"/>
    <col min="13" max="13" width="16.28515625" style="1" customWidth="1"/>
    <col min="14" max="14" width="13.85546875" style="1" customWidth="1"/>
    <col min="15" max="15" width="16.5703125" style="1" customWidth="1"/>
    <col min="16" max="16" width="13.28515625" style="1" bestFit="1" customWidth="1"/>
    <col min="17" max="17" width="14.42578125" style="1" bestFit="1" customWidth="1"/>
    <col min="18" max="18" width="10.140625" style="1" bestFit="1" customWidth="1"/>
    <col min="19" max="16384" width="8.7109375" style="1"/>
  </cols>
  <sheetData>
    <row r="1" spans="1:18" s="20" customFormat="1" ht="20.25" x14ac:dyDescent="0.25">
      <c r="A1" s="172" t="s">
        <v>78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8" s="20" customFormat="1" ht="20.25" x14ac:dyDescent="0.25">
      <c r="A2" s="172" t="s">
        <v>79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8" s="95" customFormat="1" ht="23.25" x14ac:dyDescent="0.25">
      <c r="A3" s="175" t="str">
        <f>+'Top Level'!B3&amp;" Bank Accounts and Reconciliation"</f>
        <v>2020 Bank Accounts and Reconciliation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1:18" ht="16.5" thickBot="1" x14ac:dyDescent="0.3">
      <c r="A4" s="187"/>
      <c r="B4" s="187"/>
      <c r="C4" s="187"/>
      <c r="D4" s="187"/>
      <c r="E4" s="187"/>
      <c r="F4" s="187"/>
      <c r="G4" s="187"/>
      <c r="H4" s="187"/>
      <c r="L4" s="19"/>
      <c r="M4" s="19"/>
      <c r="N4" s="19"/>
    </row>
    <row r="5" spans="1:18" ht="15.75" thickBot="1" x14ac:dyDescent="0.3">
      <c r="A5" s="122" t="s">
        <v>14</v>
      </c>
      <c r="B5" s="123"/>
      <c r="C5" s="125">
        <v>1000</v>
      </c>
      <c r="D5" s="124"/>
      <c r="E5" s="124"/>
      <c r="F5" s="125">
        <v>1010</v>
      </c>
      <c r="G5" s="124"/>
      <c r="H5" s="124"/>
      <c r="I5" s="126">
        <v>1020</v>
      </c>
      <c r="L5" s="19"/>
      <c r="M5" s="127">
        <v>4000</v>
      </c>
      <c r="N5" s="126">
        <v>5050</v>
      </c>
    </row>
    <row r="6" spans="1:18" ht="16.5" thickBot="1" x14ac:dyDescent="0.3">
      <c r="C6" s="190" t="str">
        <f>VLOOKUP(C$5,Chart,2)</f>
        <v>Fidelity Investments</v>
      </c>
      <c r="D6" s="191"/>
      <c r="E6" s="192"/>
      <c r="F6" s="190" t="str">
        <f>VLOOKUP(F$5,Chart,2)</f>
        <v>Johnson Bank - Checking</v>
      </c>
      <c r="G6" s="191"/>
      <c r="H6" s="192"/>
      <c r="I6" s="190" t="str">
        <f>VLOOKUP(I$5,Chart,2)</f>
        <v>Racine Community Foundation</v>
      </c>
      <c r="J6" s="183"/>
      <c r="K6" s="184"/>
      <c r="L6" s="65"/>
      <c r="M6" s="182" t="s">
        <v>80</v>
      </c>
      <c r="N6" s="183"/>
      <c r="O6" s="184"/>
    </row>
    <row r="7" spans="1:18" ht="15.75" x14ac:dyDescent="0.25">
      <c r="A7" s="14" t="s">
        <v>1</v>
      </c>
      <c r="B7" s="112"/>
      <c r="C7" s="188" t="s">
        <v>8</v>
      </c>
      <c r="D7" s="185" t="s">
        <v>6</v>
      </c>
      <c r="E7" s="5" t="s">
        <v>3</v>
      </c>
      <c r="F7" s="188" t="s">
        <v>8</v>
      </c>
      <c r="G7" s="185" t="s">
        <v>6</v>
      </c>
      <c r="H7" s="5" t="s">
        <v>3</v>
      </c>
      <c r="I7" s="188" t="s">
        <v>8</v>
      </c>
      <c r="J7" s="185" t="s">
        <v>6</v>
      </c>
      <c r="K7" s="5" t="s">
        <v>3</v>
      </c>
      <c r="L7" s="193"/>
      <c r="M7" s="197" t="str">
        <f>LEFT(VLOOKUP(M5,Accounts,2),13)</f>
        <v>Contributions</v>
      </c>
      <c r="N7" s="185" t="str">
        <f>LEFT(VLOOKUP(N5,Accounts,2),10)</f>
        <v>Reductions</v>
      </c>
      <c r="O7" s="5" t="s">
        <v>3</v>
      </c>
    </row>
    <row r="8" spans="1:18" ht="14.45" customHeight="1" x14ac:dyDescent="0.25">
      <c r="A8" s="110" t="s">
        <v>4</v>
      </c>
      <c r="B8" s="114">
        <v>0</v>
      </c>
      <c r="C8" s="189"/>
      <c r="D8" s="186"/>
      <c r="E8" s="6">
        <v>158395.87</v>
      </c>
      <c r="F8" s="189"/>
      <c r="G8" s="186"/>
      <c r="H8" s="6">
        <v>561.25</v>
      </c>
      <c r="I8" s="189"/>
      <c r="J8" s="186"/>
      <c r="K8" s="6">
        <v>25958.11</v>
      </c>
      <c r="L8" s="193"/>
      <c r="M8" s="198"/>
      <c r="N8" s="186"/>
      <c r="O8" s="6">
        <v>129283.65</v>
      </c>
      <c r="Q8" s="18"/>
      <c r="R8" s="18"/>
    </row>
    <row r="9" spans="1:18" x14ac:dyDescent="0.25">
      <c r="A9" s="15" t="str">
        <f>VLOOKUP(1,LKQtr,2)</f>
        <v>January</v>
      </c>
      <c r="B9" s="113">
        <v>1</v>
      </c>
      <c r="C9" s="57">
        <f t="shared" ref="C9:C20" si="0">SUMIFS(SumRevenue,SumMonth,$A9,SumBank,C$5)</f>
        <v>0</v>
      </c>
      <c r="D9" s="165">
        <f t="shared" ref="D9:D20" si="1">SUMIFS(SumExp,SumMonth,$A9,SumBank,C$5)</f>
        <v>1209.28</v>
      </c>
      <c r="E9" s="167">
        <f t="shared" ref="E9:E19" si="2">IF(+E8+C9-D9=E8,0,+E8+C9-D9)</f>
        <v>157186.59</v>
      </c>
      <c r="F9" s="57">
        <f t="shared" ref="F9:F20" si="3">SUMIFS(SumRevenue,SumMonth,$A9,SumBank,F$5)</f>
        <v>0</v>
      </c>
      <c r="G9" s="165">
        <f t="shared" ref="G9:G20" si="4">SUMIFS(SumExp,SumMonth,$A9,SumBank,F$5)</f>
        <v>0</v>
      </c>
      <c r="H9" s="167">
        <f>IF(E9&lt;&gt;0,(+H8+F9-G9),0)</f>
        <v>561.25</v>
      </c>
      <c r="I9" s="57">
        <f t="shared" ref="I9:I20" si="5">SUMIFS(SumRevenue,SumMonth,$A9,SumBank,I$5)</f>
        <v>0</v>
      </c>
      <c r="J9" s="165">
        <f t="shared" ref="J9:J20" si="6">SUMIFS(SumExp,SumMonth,$A9,SumBank,I$5)</f>
        <v>0</v>
      </c>
      <c r="K9" s="167">
        <f>IF(H9&lt;&gt;0,(+K8+I9-J9),0)</f>
        <v>25958.11</v>
      </c>
      <c r="L9" s="104"/>
      <c r="M9" s="57">
        <f t="shared" ref="M9:M20" si="7">SUMIFS(SumRevenue,SumMonth,$A9,SumAccount,M$5)</f>
        <v>0</v>
      </c>
      <c r="N9" s="165">
        <f t="shared" ref="N9:N20" si="8">SUMIFS(SumExp,SumMonth,$A9,SumAccount,N$5)</f>
        <v>0</v>
      </c>
      <c r="O9" s="166">
        <f>IF(E9&lt;&gt;0,+O8+M9-N9,0)</f>
        <v>129283.65</v>
      </c>
    </row>
    <row r="10" spans="1:18" x14ac:dyDescent="0.25">
      <c r="A10" s="15" t="str">
        <f>VLOOKUP(1,LKQtr,3)</f>
        <v>February</v>
      </c>
      <c r="B10" s="113">
        <v>2</v>
      </c>
      <c r="C10" s="57">
        <f t="shared" si="0"/>
        <v>0</v>
      </c>
      <c r="D10" s="165">
        <f t="shared" si="1"/>
        <v>5731.31</v>
      </c>
      <c r="E10" s="167">
        <f t="shared" si="2"/>
        <v>151455.28</v>
      </c>
      <c r="F10" s="57">
        <f t="shared" si="3"/>
        <v>0</v>
      </c>
      <c r="G10" s="165">
        <f t="shared" si="4"/>
        <v>0</v>
      </c>
      <c r="H10" s="167">
        <f t="shared" ref="H10:H20" si="9">IF(E10&lt;&gt;0,(+H9+F10-G10),0)</f>
        <v>561.25</v>
      </c>
      <c r="I10" s="57">
        <f t="shared" si="5"/>
        <v>0</v>
      </c>
      <c r="J10" s="165">
        <f t="shared" si="6"/>
        <v>0</v>
      </c>
      <c r="K10" s="167">
        <f t="shared" ref="K10:K20" si="10">IF(H10&lt;&gt;0,(+K9+I10-J10),0)</f>
        <v>25958.11</v>
      </c>
      <c r="L10" s="104"/>
      <c r="M10" s="57">
        <f t="shared" si="7"/>
        <v>0</v>
      </c>
      <c r="N10" s="165">
        <f t="shared" si="8"/>
        <v>0</v>
      </c>
      <c r="O10" s="166">
        <f t="shared" ref="O10:O20" si="11">IF(E10&lt;&gt;0,+O9+M10-N10,0)</f>
        <v>129283.65</v>
      </c>
    </row>
    <row r="11" spans="1:18" x14ac:dyDescent="0.25">
      <c r="A11" s="15" t="str">
        <f>VLOOKUP(1,LKQtr,4)</f>
        <v>March</v>
      </c>
      <c r="B11" s="113">
        <v>3</v>
      </c>
      <c r="C11" s="57">
        <f t="shared" si="0"/>
        <v>0</v>
      </c>
      <c r="D11" s="165">
        <f t="shared" si="1"/>
        <v>14881.01</v>
      </c>
      <c r="E11" s="167">
        <f t="shared" si="2"/>
        <v>136574.26999999999</v>
      </c>
      <c r="F11" s="57">
        <f t="shared" si="3"/>
        <v>0</v>
      </c>
      <c r="G11" s="165">
        <f t="shared" si="4"/>
        <v>0</v>
      </c>
      <c r="H11" s="167">
        <f t="shared" si="9"/>
        <v>561.25</v>
      </c>
      <c r="I11" s="57">
        <f t="shared" si="5"/>
        <v>0</v>
      </c>
      <c r="J11" s="165">
        <f t="shared" si="6"/>
        <v>0</v>
      </c>
      <c r="K11" s="167">
        <f t="shared" si="10"/>
        <v>25958.11</v>
      </c>
      <c r="L11" s="104"/>
      <c r="M11" s="57">
        <f t="shared" si="7"/>
        <v>0</v>
      </c>
      <c r="N11" s="165">
        <f t="shared" si="8"/>
        <v>0</v>
      </c>
      <c r="O11" s="166">
        <f t="shared" si="11"/>
        <v>129283.65</v>
      </c>
    </row>
    <row r="12" spans="1:18" x14ac:dyDescent="0.25">
      <c r="A12" s="15" t="str">
        <f>VLOOKUP(2,LKQtr,2)</f>
        <v>April</v>
      </c>
      <c r="B12" s="113">
        <v>4</v>
      </c>
      <c r="C12" s="57">
        <f t="shared" si="0"/>
        <v>9259.48</v>
      </c>
      <c r="D12" s="165">
        <f t="shared" si="1"/>
        <v>0</v>
      </c>
      <c r="E12" s="167">
        <f t="shared" si="2"/>
        <v>145833.75</v>
      </c>
      <c r="F12" s="57">
        <f t="shared" si="3"/>
        <v>0</v>
      </c>
      <c r="G12" s="165">
        <f t="shared" si="4"/>
        <v>0</v>
      </c>
      <c r="H12" s="167">
        <f t="shared" si="9"/>
        <v>561.25</v>
      </c>
      <c r="I12" s="57">
        <f t="shared" si="5"/>
        <v>0</v>
      </c>
      <c r="J12" s="165">
        <f t="shared" si="6"/>
        <v>0</v>
      </c>
      <c r="K12" s="167">
        <f t="shared" si="10"/>
        <v>25958.11</v>
      </c>
      <c r="L12" s="104"/>
      <c r="M12" s="57">
        <f t="shared" si="7"/>
        <v>0</v>
      </c>
      <c r="N12" s="165">
        <f t="shared" si="8"/>
        <v>0</v>
      </c>
      <c r="O12" s="166">
        <f t="shared" si="11"/>
        <v>129283.65</v>
      </c>
    </row>
    <row r="13" spans="1:18" x14ac:dyDescent="0.25">
      <c r="A13" s="15" t="str">
        <f>VLOOKUP(2,LKQtr,3)</f>
        <v>May</v>
      </c>
      <c r="B13" s="113">
        <v>5</v>
      </c>
      <c r="C13" s="57">
        <f t="shared" si="0"/>
        <v>5080.91</v>
      </c>
      <c r="D13" s="165">
        <f t="shared" si="1"/>
        <v>1750</v>
      </c>
      <c r="E13" s="167">
        <f t="shared" si="2"/>
        <v>149164.66</v>
      </c>
      <c r="F13" s="57">
        <f t="shared" si="3"/>
        <v>0</v>
      </c>
      <c r="G13" s="165">
        <f t="shared" si="4"/>
        <v>0</v>
      </c>
      <c r="H13" s="167">
        <f t="shared" si="9"/>
        <v>561.25</v>
      </c>
      <c r="I13" s="57">
        <f t="shared" si="5"/>
        <v>0</v>
      </c>
      <c r="J13" s="165">
        <f t="shared" si="6"/>
        <v>0</v>
      </c>
      <c r="K13" s="167">
        <f t="shared" si="10"/>
        <v>25958.11</v>
      </c>
      <c r="L13" s="104"/>
      <c r="M13" s="57">
        <f t="shared" si="7"/>
        <v>0</v>
      </c>
      <c r="N13" s="165">
        <f t="shared" si="8"/>
        <v>0</v>
      </c>
      <c r="O13" s="166">
        <f t="shared" si="11"/>
        <v>129283.65</v>
      </c>
    </row>
    <row r="14" spans="1:18" x14ac:dyDescent="0.25">
      <c r="A14" s="15" t="str">
        <f>VLOOKUP(2,LKQtr,4)</f>
        <v>June</v>
      </c>
      <c r="B14" s="113">
        <v>6</v>
      </c>
      <c r="C14" s="57">
        <f t="shared" si="0"/>
        <v>4019.67</v>
      </c>
      <c r="D14" s="165">
        <f t="shared" si="1"/>
        <v>0</v>
      </c>
      <c r="E14" s="167">
        <f t="shared" si="2"/>
        <v>153184.33000000002</v>
      </c>
      <c r="F14" s="57">
        <f t="shared" si="3"/>
        <v>0</v>
      </c>
      <c r="G14" s="165">
        <f t="shared" si="4"/>
        <v>0</v>
      </c>
      <c r="H14" s="167">
        <f t="shared" si="9"/>
        <v>561.25</v>
      </c>
      <c r="I14" s="57">
        <f t="shared" si="5"/>
        <v>0</v>
      </c>
      <c r="J14" s="165">
        <f t="shared" si="6"/>
        <v>0</v>
      </c>
      <c r="K14" s="167">
        <f t="shared" si="10"/>
        <v>25958.11</v>
      </c>
      <c r="L14" s="104"/>
      <c r="M14" s="57">
        <f t="shared" si="7"/>
        <v>0</v>
      </c>
      <c r="N14" s="165">
        <f t="shared" si="8"/>
        <v>0</v>
      </c>
      <c r="O14" s="166">
        <f t="shared" si="11"/>
        <v>129283.65</v>
      </c>
    </row>
    <row r="15" spans="1:18" x14ac:dyDescent="0.25">
      <c r="A15" s="15" t="str">
        <f>VLOOKUP(3,LKQtr,2)</f>
        <v>July</v>
      </c>
      <c r="B15" s="113">
        <v>7</v>
      </c>
      <c r="C15" s="57">
        <f t="shared" si="0"/>
        <v>5806.2</v>
      </c>
      <c r="D15" s="165">
        <f t="shared" si="1"/>
        <v>0</v>
      </c>
      <c r="E15" s="167">
        <f t="shared" si="2"/>
        <v>158990.53000000003</v>
      </c>
      <c r="F15" s="57">
        <f t="shared" si="3"/>
        <v>0</v>
      </c>
      <c r="G15" s="165">
        <f t="shared" si="4"/>
        <v>0</v>
      </c>
      <c r="H15" s="167">
        <f t="shared" si="9"/>
        <v>561.25</v>
      </c>
      <c r="I15" s="57">
        <f t="shared" si="5"/>
        <v>0</v>
      </c>
      <c r="J15" s="165">
        <f t="shared" si="6"/>
        <v>0</v>
      </c>
      <c r="K15" s="167">
        <f t="shared" si="10"/>
        <v>25958.11</v>
      </c>
      <c r="L15" s="104"/>
      <c r="M15" s="57">
        <f t="shared" si="7"/>
        <v>0</v>
      </c>
      <c r="N15" s="165">
        <f t="shared" si="8"/>
        <v>0</v>
      </c>
      <c r="O15" s="166">
        <f t="shared" si="11"/>
        <v>129283.65</v>
      </c>
      <c r="Q15" s="132"/>
    </row>
    <row r="16" spans="1:18" x14ac:dyDescent="0.25">
      <c r="A16" s="15" t="str">
        <f>VLOOKUP(3,LKQtr,3)</f>
        <v>August</v>
      </c>
      <c r="B16" s="113">
        <v>8</v>
      </c>
      <c r="C16" s="57">
        <f t="shared" si="0"/>
        <v>5359.56</v>
      </c>
      <c r="D16" s="165">
        <f t="shared" si="1"/>
        <v>0</v>
      </c>
      <c r="E16" s="167">
        <f t="shared" si="2"/>
        <v>164350.09000000003</v>
      </c>
      <c r="F16" s="57">
        <f t="shared" si="3"/>
        <v>0</v>
      </c>
      <c r="G16" s="165">
        <f t="shared" si="4"/>
        <v>0</v>
      </c>
      <c r="H16" s="167">
        <f t="shared" si="9"/>
        <v>561.25</v>
      </c>
      <c r="I16" s="57">
        <f t="shared" si="5"/>
        <v>0</v>
      </c>
      <c r="J16" s="165">
        <f t="shared" si="6"/>
        <v>0</v>
      </c>
      <c r="K16" s="167">
        <f t="shared" si="10"/>
        <v>25958.11</v>
      </c>
      <c r="L16" s="104"/>
      <c r="M16" s="57">
        <f t="shared" si="7"/>
        <v>0</v>
      </c>
      <c r="N16" s="165">
        <f t="shared" si="8"/>
        <v>0</v>
      </c>
      <c r="O16" s="166">
        <f t="shared" si="11"/>
        <v>129283.65</v>
      </c>
    </row>
    <row r="17" spans="1:16" x14ac:dyDescent="0.25">
      <c r="A17" s="15" t="str">
        <f>VLOOKUP(3,LKQtr,4)</f>
        <v>September</v>
      </c>
      <c r="B17" s="113">
        <v>9</v>
      </c>
      <c r="C17" s="57">
        <f t="shared" si="0"/>
        <v>0</v>
      </c>
      <c r="D17" s="165">
        <f t="shared" si="1"/>
        <v>2456.46</v>
      </c>
      <c r="E17" s="167">
        <f t="shared" si="2"/>
        <v>161893.63000000003</v>
      </c>
      <c r="F17" s="57">
        <f t="shared" si="3"/>
        <v>0</v>
      </c>
      <c r="G17" s="165">
        <f t="shared" si="4"/>
        <v>0</v>
      </c>
      <c r="H17" s="167">
        <f t="shared" si="9"/>
        <v>561.25</v>
      </c>
      <c r="I17" s="57">
        <f t="shared" si="5"/>
        <v>0</v>
      </c>
      <c r="J17" s="165">
        <f t="shared" si="6"/>
        <v>0</v>
      </c>
      <c r="K17" s="167">
        <f t="shared" si="10"/>
        <v>25958.11</v>
      </c>
      <c r="L17" s="104"/>
      <c r="M17" s="57">
        <f t="shared" si="7"/>
        <v>0</v>
      </c>
      <c r="N17" s="165">
        <f t="shared" si="8"/>
        <v>0</v>
      </c>
      <c r="O17" s="166">
        <f t="shared" si="11"/>
        <v>129283.65</v>
      </c>
    </row>
    <row r="18" spans="1:16" x14ac:dyDescent="0.25">
      <c r="A18" s="15" t="str">
        <f>VLOOKUP(4,LKQtr,2)</f>
        <v>October</v>
      </c>
      <c r="B18" s="113">
        <v>10</v>
      </c>
      <c r="C18" s="57">
        <f t="shared" si="0"/>
        <v>0</v>
      </c>
      <c r="D18" s="165">
        <f t="shared" si="1"/>
        <v>1674.87</v>
      </c>
      <c r="E18" s="167">
        <f t="shared" si="2"/>
        <v>160218.76000000004</v>
      </c>
      <c r="F18" s="57">
        <f t="shared" si="3"/>
        <v>0</v>
      </c>
      <c r="G18" s="165">
        <f t="shared" si="4"/>
        <v>0</v>
      </c>
      <c r="H18" s="167">
        <f t="shared" si="9"/>
        <v>561.25</v>
      </c>
      <c r="I18" s="57">
        <f t="shared" si="5"/>
        <v>0</v>
      </c>
      <c r="J18" s="165">
        <f t="shared" si="6"/>
        <v>0</v>
      </c>
      <c r="K18" s="167">
        <f t="shared" si="10"/>
        <v>25958.11</v>
      </c>
      <c r="L18" s="104"/>
      <c r="M18" s="57">
        <f t="shared" si="7"/>
        <v>0</v>
      </c>
      <c r="N18" s="165">
        <f t="shared" si="8"/>
        <v>0</v>
      </c>
      <c r="O18" s="166">
        <f t="shared" si="11"/>
        <v>129283.65</v>
      </c>
    </row>
    <row r="19" spans="1:16" x14ac:dyDescent="0.25">
      <c r="A19" s="15" t="str">
        <f>VLOOKUP(4,LKQtr,3)</f>
        <v>November</v>
      </c>
      <c r="B19" s="113">
        <v>11</v>
      </c>
      <c r="C19" s="57">
        <f t="shared" si="0"/>
        <v>12840.63</v>
      </c>
      <c r="D19" s="165">
        <f t="shared" si="1"/>
        <v>0</v>
      </c>
      <c r="E19" s="167">
        <f t="shared" si="2"/>
        <v>173059.39000000004</v>
      </c>
      <c r="F19" s="57">
        <f t="shared" si="3"/>
        <v>0</v>
      </c>
      <c r="G19" s="165">
        <f t="shared" si="4"/>
        <v>0</v>
      </c>
      <c r="H19" s="167">
        <f t="shared" si="9"/>
        <v>561.25</v>
      </c>
      <c r="I19" s="57">
        <f t="shared" si="5"/>
        <v>0</v>
      </c>
      <c r="J19" s="165">
        <f t="shared" si="6"/>
        <v>0</v>
      </c>
      <c r="K19" s="167">
        <f t="shared" si="10"/>
        <v>25958.11</v>
      </c>
      <c r="L19" s="104"/>
      <c r="M19" s="57">
        <f t="shared" si="7"/>
        <v>0</v>
      </c>
      <c r="N19" s="165">
        <f t="shared" si="8"/>
        <v>0</v>
      </c>
      <c r="O19" s="166">
        <f t="shared" si="11"/>
        <v>129283.65</v>
      </c>
    </row>
    <row r="20" spans="1:16" x14ac:dyDescent="0.25">
      <c r="A20" s="15" t="str">
        <f>VLOOKUP(4,LKQtr,4)</f>
        <v>December</v>
      </c>
      <c r="B20" s="113">
        <v>12</v>
      </c>
      <c r="C20" s="57">
        <f t="shared" si="0"/>
        <v>6230.85</v>
      </c>
      <c r="D20" s="165">
        <f t="shared" si="1"/>
        <v>5000</v>
      </c>
      <c r="E20" s="167">
        <f>IF(+E19+C20-D20=E19,0,+E19+C20-D20)</f>
        <v>174290.24000000005</v>
      </c>
      <c r="F20" s="57">
        <f t="shared" si="3"/>
        <v>0</v>
      </c>
      <c r="G20" s="165">
        <f t="shared" si="4"/>
        <v>0</v>
      </c>
      <c r="H20" s="167">
        <f t="shared" si="9"/>
        <v>561.25</v>
      </c>
      <c r="I20" s="57">
        <f t="shared" si="5"/>
        <v>0</v>
      </c>
      <c r="J20" s="165">
        <f t="shared" si="6"/>
        <v>0</v>
      </c>
      <c r="K20" s="167">
        <f t="shared" si="10"/>
        <v>25958.11</v>
      </c>
      <c r="L20" s="104"/>
      <c r="M20" s="57">
        <f t="shared" si="7"/>
        <v>0</v>
      </c>
      <c r="N20" s="165">
        <f t="shared" si="8"/>
        <v>0</v>
      </c>
      <c r="O20" s="166">
        <f t="shared" si="11"/>
        <v>129283.65</v>
      </c>
    </row>
    <row r="21" spans="1:16" ht="16.5" thickBot="1" x14ac:dyDescent="0.3">
      <c r="A21" s="16" t="s">
        <v>9</v>
      </c>
      <c r="B21" s="16"/>
      <c r="C21" s="7">
        <f>SUM(C9:C20)</f>
        <v>48597.299999999996</v>
      </c>
      <c r="D21" s="8">
        <f>SUM(D9:D20)</f>
        <v>32702.929999999997</v>
      </c>
      <c r="E21" s="9">
        <f ca="1">IF(ISNA(INDIRECT("E"&amp;(MATCH(0,E$9:E$20,0)+7))),E$20,INDIRECT("E"&amp;(MATCH(0,E$9:E$20,0)+7)))</f>
        <v>174290.24000000005</v>
      </c>
      <c r="F21" s="7">
        <f>SUM(F9:F20)</f>
        <v>0</v>
      </c>
      <c r="G21" s="8">
        <f>SUM(G9:G20)</f>
        <v>0</v>
      </c>
      <c r="H21" s="9">
        <f ca="1">IF(ISNA(INDIRECT("H"&amp;(MATCH(0,H$9:H$20,0)+7))),H$20,INDIRECT("H"&amp;(MATCH(0,H$9:H$20,0)+7)))</f>
        <v>561.25</v>
      </c>
      <c r="I21" s="7">
        <f>SUM(I9:I20)</f>
        <v>0</v>
      </c>
      <c r="J21" s="8">
        <f>SUM(J9:J20)</f>
        <v>0</v>
      </c>
      <c r="K21" s="9">
        <f ca="1">IF(ISNA(INDIRECT("K"&amp;(MATCH(0,K$9:K$20,0)+7))),K$20,INDIRECT("K"&amp;(MATCH(0,K$9:K$20,0)+7)))</f>
        <v>25958.11</v>
      </c>
      <c r="L21" s="105"/>
      <c r="M21" s="7">
        <f>SUM(M9:M20)</f>
        <v>0</v>
      </c>
      <c r="N21" s="8">
        <f>SUM(N9:N20)</f>
        <v>0</v>
      </c>
      <c r="O21" s="9">
        <f>+O20</f>
        <v>129283.65</v>
      </c>
    </row>
    <row r="22" spans="1:16" x14ac:dyDescent="0.25">
      <c r="E22" s="3"/>
      <c r="H22" s="3"/>
      <c r="K22" s="3"/>
      <c r="L22" s="19"/>
      <c r="O22" s="3"/>
    </row>
    <row r="23" spans="1:16" ht="16.5" thickBot="1" x14ac:dyDescent="0.3">
      <c r="A23" s="194" t="s">
        <v>102</v>
      </c>
      <c r="C23" s="151"/>
      <c r="D23" s="152" t="s">
        <v>103</v>
      </c>
      <c r="E23" s="153">
        <v>177290.23999999999</v>
      </c>
      <c r="F23" s="162"/>
      <c r="G23" s="152" t="s">
        <v>103</v>
      </c>
      <c r="H23" s="153">
        <v>561.25</v>
      </c>
      <c r="I23" s="162"/>
      <c r="J23" s="152" t="s">
        <v>103</v>
      </c>
      <c r="K23" s="153">
        <v>25958.11</v>
      </c>
      <c r="L23" s="19"/>
      <c r="N23" s="20"/>
      <c r="O23" s="106"/>
      <c r="P23" s="18"/>
    </row>
    <row r="24" spans="1:16" x14ac:dyDescent="0.25">
      <c r="A24" s="195"/>
      <c r="C24" s="154"/>
      <c r="D24" s="171" t="s">
        <v>110</v>
      </c>
      <c r="E24" s="155">
        <f ca="1">+E23-E21</f>
        <v>2999.9999999999418</v>
      </c>
      <c r="F24" s="154"/>
      <c r="G24" s="171" t="s">
        <v>110</v>
      </c>
      <c r="H24" s="155">
        <f ca="1">+H23-H21</f>
        <v>0</v>
      </c>
      <c r="I24" s="154"/>
      <c r="J24" s="171" t="s">
        <v>110</v>
      </c>
      <c r="K24" s="169" t="str">
        <f>IF(ROUND(K14-K23,2)=0,"OK","Check it")</f>
        <v>OK</v>
      </c>
      <c r="L24" s="19"/>
      <c r="N24" s="20"/>
      <c r="O24" s="25"/>
    </row>
    <row r="25" spans="1:16" ht="15.75" x14ac:dyDescent="0.25">
      <c r="A25" s="195"/>
      <c r="C25" s="156" t="s">
        <v>89</v>
      </c>
      <c r="D25" s="20"/>
      <c r="E25" s="157"/>
      <c r="F25" s="156" t="s">
        <v>89</v>
      </c>
      <c r="G25" s="20"/>
      <c r="H25" s="157"/>
      <c r="I25" s="154"/>
      <c r="J25" s="20"/>
      <c r="K25" s="157"/>
      <c r="L25" s="19"/>
      <c r="M25" s="19"/>
      <c r="N25" s="19"/>
      <c r="O25" s="20"/>
    </row>
    <row r="26" spans="1:16" x14ac:dyDescent="0.25">
      <c r="A26" s="195"/>
      <c r="C26" s="154" t="str">
        <f>+$D$23</f>
        <v xml:space="preserve">Curr Stmt.  </v>
      </c>
      <c r="D26" s="20"/>
      <c r="E26" s="155">
        <f>+E23</f>
        <v>177290.23999999999</v>
      </c>
      <c r="F26" s="154" t="str">
        <f>+$D$23</f>
        <v xml:space="preserve">Curr Stmt.  </v>
      </c>
      <c r="G26" s="20"/>
      <c r="H26" s="155">
        <f>+H23</f>
        <v>561.25</v>
      </c>
      <c r="I26" s="154"/>
      <c r="J26" s="20"/>
      <c r="K26" s="157"/>
      <c r="N26" s="3"/>
    </row>
    <row r="27" spans="1:16" x14ac:dyDescent="0.25">
      <c r="A27" s="195"/>
      <c r="C27" s="180" t="s">
        <v>88</v>
      </c>
      <c r="D27" s="181"/>
      <c r="E27" s="157"/>
      <c r="F27" s="180" t="s">
        <v>88</v>
      </c>
      <c r="G27" s="181"/>
      <c r="H27" s="157"/>
      <c r="I27" s="154"/>
      <c r="J27" s="20"/>
      <c r="K27" s="157"/>
      <c r="N27" s="3"/>
    </row>
    <row r="28" spans="1:16" ht="15.75" x14ac:dyDescent="0.25">
      <c r="A28" s="195"/>
      <c r="C28" s="154"/>
      <c r="D28" s="170" t="s">
        <v>109</v>
      </c>
      <c r="E28" s="159">
        <v>3000</v>
      </c>
      <c r="F28" s="154"/>
      <c r="G28" s="158"/>
      <c r="H28" s="159"/>
      <c r="I28" s="154"/>
      <c r="J28" s="45"/>
      <c r="K28" s="163"/>
      <c r="L28" s="44"/>
      <c r="M28" s="44"/>
      <c r="N28" s="3"/>
    </row>
    <row r="29" spans="1:16" x14ac:dyDescent="0.25">
      <c r="A29" s="195"/>
      <c r="C29" s="154"/>
      <c r="D29" s="158"/>
      <c r="E29" s="159"/>
      <c r="F29" s="154"/>
      <c r="G29" s="158"/>
      <c r="H29" s="159"/>
      <c r="I29" s="154"/>
      <c r="J29" s="20"/>
      <c r="K29" s="157"/>
      <c r="N29" s="3"/>
    </row>
    <row r="30" spans="1:16" x14ac:dyDescent="0.25">
      <c r="A30" s="195"/>
      <c r="C30" s="154" t="s">
        <v>90</v>
      </c>
      <c r="D30" s="20"/>
      <c r="E30" s="160">
        <f>+E26-SUM(E28:E29)</f>
        <v>174290.24</v>
      </c>
      <c r="F30" s="154" t="s">
        <v>90</v>
      </c>
      <c r="G30" s="20"/>
      <c r="H30" s="160">
        <f>+H26-SUM(H28:H29)</f>
        <v>561.25</v>
      </c>
      <c r="I30" s="154"/>
      <c r="J30" s="20"/>
      <c r="K30" s="157"/>
      <c r="N30" s="3"/>
    </row>
    <row r="31" spans="1:16" x14ac:dyDescent="0.25">
      <c r="A31" s="196"/>
      <c r="C31" s="161" t="s">
        <v>42</v>
      </c>
      <c r="D31" s="118"/>
      <c r="E31" s="169" t="str">
        <f ca="1">IF(ROUND(E21-E30,2)=0,"OK","Check it")</f>
        <v>OK</v>
      </c>
      <c r="F31" s="161" t="s">
        <v>42</v>
      </c>
      <c r="G31" s="118"/>
      <c r="H31" s="169" t="str">
        <f ca="1">IF(ROUND(H21-H30,2)=0,"OK","Check it")</f>
        <v>OK</v>
      </c>
      <c r="I31" s="161"/>
      <c r="J31" s="118"/>
      <c r="K31" s="164"/>
      <c r="N31" s="3"/>
    </row>
    <row r="32" spans="1:16" x14ac:dyDescent="0.25">
      <c r="E32" s="3"/>
      <c r="K32" s="3"/>
      <c r="N32" s="3"/>
    </row>
    <row r="33" spans="5:14" ht="15.75" x14ac:dyDescent="0.25">
      <c r="E33" s="3"/>
      <c r="H33" s="46"/>
      <c r="K33" s="3"/>
      <c r="N33" s="3"/>
    </row>
    <row r="34" spans="5:14" x14ac:dyDescent="0.25">
      <c r="E34" s="168"/>
      <c r="H34" s="3"/>
      <c r="K34" s="3"/>
      <c r="N34" s="3"/>
    </row>
    <row r="35" spans="5:14" x14ac:dyDescent="0.25">
      <c r="E35" s="3"/>
      <c r="H35" s="3"/>
      <c r="K35" s="3"/>
      <c r="N35" s="3"/>
    </row>
    <row r="40" spans="5:14" x14ac:dyDescent="0.25">
      <c r="E40" s="3"/>
      <c r="H40" s="3"/>
      <c r="K40" s="3"/>
      <c r="N40" s="3"/>
    </row>
    <row r="41" spans="5:14" x14ac:dyDescent="0.25">
      <c r="E41" s="3"/>
      <c r="H41" s="3"/>
      <c r="K41" s="3"/>
      <c r="N41" s="3"/>
    </row>
    <row r="43" spans="5:14" x14ac:dyDescent="0.25">
      <c r="E43" s="3"/>
      <c r="H43" s="3"/>
      <c r="K43" s="3"/>
      <c r="N43" s="3"/>
    </row>
    <row r="48" spans="5:14" x14ac:dyDescent="0.25">
      <c r="E48" s="3"/>
      <c r="H48" s="3"/>
      <c r="K48" s="3"/>
      <c r="N48" s="3"/>
    </row>
    <row r="56" spans="5:14" x14ac:dyDescent="0.25">
      <c r="E56" s="3"/>
      <c r="H56" s="3"/>
      <c r="K56" s="3"/>
      <c r="N56" s="3"/>
    </row>
    <row r="58" spans="5:14" x14ac:dyDescent="0.25">
      <c r="E58" s="3"/>
      <c r="H58" s="3"/>
      <c r="K58" s="3"/>
      <c r="N58" s="3"/>
    </row>
    <row r="59" spans="5:14" x14ac:dyDescent="0.25">
      <c r="E59" s="3"/>
      <c r="H59" s="3"/>
      <c r="K59" s="3"/>
      <c r="N59" s="3"/>
    </row>
    <row r="60" spans="5:14" x14ac:dyDescent="0.25">
      <c r="E60" s="3"/>
      <c r="H60" s="3"/>
      <c r="K60" s="3"/>
      <c r="N60" s="3"/>
    </row>
    <row r="61" spans="5:14" x14ac:dyDescent="0.25">
      <c r="E61" s="3"/>
      <c r="H61" s="3"/>
      <c r="K61" s="3"/>
      <c r="N61" s="3"/>
    </row>
    <row r="62" spans="5:14" x14ac:dyDescent="0.25">
      <c r="E62" s="3"/>
      <c r="H62" s="3"/>
      <c r="K62" s="3"/>
      <c r="N62" s="3"/>
    </row>
    <row r="63" spans="5:14" x14ac:dyDescent="0.25">
      <c r="E63" s="3"/>
      <c r="H63" s="3"/>
      <c r="K63" s="3"/>
      <c r="N63" s="3"/>
    </row>
    <row r="64" spans="5:14" x14ac:dyDescent="0.25">
      <c r="E64" s="3"/>
      <c r="H64" s="3"/>
      <c r="K64" s="3"/>
      <c r="N64" s="3"/>
    </row>
    <row r="65" spans="5:14" x14ac:dyDescent="0.25">
      <c r="E65" s="3"/>
      <c r="H65" s="3"/>
      <c r="K65" s="3"/>
      <c r="N65" s="3"/>
    </row>
    <row r="66" spans="5:14" x14ac:dyDescent="0.25">
      <c r="E66" s="3"/>
      <c r="H66" s="3"/>
      <c r="K66" s="3"/>
      <c r="N66" s="3"/>
    </row>
    <row r="67" spans="5:14" x14ac:dyDescent="0.25">
      <c r="E67" s="3"/>
      <c r="H67" s="3"/>
      <c r="K67" s="3"/>
      <c r="N67" s="3"/>
    </row>
    <row r="68" spans="5:14" x14ac:dyDescent="0.25">
      <c r="E68" s="3"/>
      <c r="H68" s="3"/>
      <c r="K68" s="3"/>
      <c r="N68" s="3"/>
    </row>
    <row r="69" spans="5:14" x14ac:dyDescent="0.25">
      <c r="E69" s="3"/>
      <c r="H69" s="3"/>
      <c r="K69" s="3"/>
      <c r="N69" s="3"/>
    </row>
    <row r="70" spans="5:14" x14ac:dyDescent="0.25">
      <c r="E70" s="3"/>
      <c r="H70" s="3"/>
      <c r="K70" s="3"/>
      <c r="N70" s="3"/>
    </row>
    <row r="71" spans="5:14" x14ac:dyDescent="0.25">
      <c r="E71" s="3"/>
      <c r="H71" s="3"/>
      <c r="K71" s="3"/>
      <c r="N71" s="3"/>
    </row>
    <row r="72" spans="5:14" x14ac:dyDescent="0.25">
      <c r="E72" s="3"/>
      <c r="H72" s="3"/>
      <c r="K72" s="3"/>
      <c r="N72" s="3"/>
    </row>
    <row r="73" spans="5:14" x14ac:dyDescent="0.25">
      <c r="E73" s="3"/>
      <c r="H73" s="3"/>
      <c r="K73" s="3"/>
      <c r="N73" s="3"/>
    </row>
    <row r="74" spans="5:14" x14ac:dyDescent="0.25">
      <c r="E74" s="3"/>
      <c r="H74" s="3"/>
      <c r="K74" s="3"/>
      <c r="N74" s="3"/>
    </row>
    <row r="78" spans="5:14" x14ac:dyDescent="0.25">
      <c r="E78" s="3"/>
      <c r="H78" s="3"/>
      <c r="K78" s="3"/>
      <c r="N78" s="3"/>
    </row>
    <row r="80" spans="5:14" x14ac:dyDescent="0.25">
      <c r="E80" s="3"/>
      <c r="H80" s="3"/>
      <c r="K80" s="3"/>
      <c r="N80" s="3"/>
    </row>
    <row r="84" spans="5:14" x14ac:dyDescent="0.25">
      <c r="E84" s="3"/>
      <c r="H84" s="3"/>
      <c r="K84" s="3"/>
      <c r="N84" s="3"/>
    </row>
    <row r="92" spans="5:14" x14ac:dyDescent="0.25">
      <c r="E92" s="3"/>
      <c r="H92" s="3"/>
      <c r="K92" s="3"/>
      <c r="N92" s="3"/>
    </row>
    <row r="93" spans="5:14" x14ac:dyDescent="0.25">
      <c r="E93" s="3"/>
      <c r="H93" s="3"/>
      <c r="K93" s="3"/>
      <c r="N93" s="3"/>
    </row>
    <row r="96" spans="5:14" x14ac:dyDescent="0.25">
      <c r="E96" s="3"/>
      <c r="H96" s="3"/>
      <c r="K96" s="3"/>
      <c r="N96" s="3"/>
    </row>
    <row r="102" spans="5:14" x14ac:dyDescent="0.25">
      <c r="E102" s="3"/>
      <c r="H102" s="3"/>
      <c r="K102" s="3"/>
      <c r="N102" s="3"/>
    </row>
    <row r="103" spans="5:14" x14ac:dyDescent="0.25">
      <c r="E103" s="3"/>
      <c r="H103" s="3"/>
      <c r="K103" s="3"/>
      <c r="N103" s="3"/>
    </row>
    <row r="104" spans="5:14" x14ac:dyDescent="0.25">
      <c r="E104" s="3"/>
      <c r="H104" s="3"/>
      <c r="K104" s="3"/>
      <c r="N104" s="3"/>
    </row>
    <row r="118" spans="5:14" x14ac:dyDescent="0.25">
      <c r="E118" s="3"/>
      <c r="H118" s="3"/>
      <c r="K118" s="3"/>
      <c r="N118" s="3"/>
    </row>
    <row r="133" spans="5:14" x14ac:dyDescent="0.25">
      <c r="E133" s="3"/>
      <c r="H133" s="3"/>
      <c r="K133" s="3"/>
      <c r="N133" s="3"/>
    </row>
    <row r="159" spans="5:14" x14ac:dyDescent="0.25">
      <c r="E159" s="3"/>
      <c r="H159" s="3"/>
      <c r="K159" s="3"/>
      <c r="N159" s="3"/>
    </row>
  </sheetData>
  <mergeCells count="20">
    <mergeCell ref="I6:K6"/>
    <mergeCell ref="A2:O2"/>
    <mergeCell ref="A1:O1"/>
    <mergeCell ref="A3:O3"/>
    <mergeCell ref="F27:G27"/>
    <mergeCell ref="C27:D27"/>
    <mergeCell ref="M6:O6"/>
    <mergeCell ref="N7:N8"/>
    <mergeCell ref="A4:H4"/>
    <mergeCell ref="F7:F8"/>
    <mergeCell ref="G7:G8"/>
    <mergeCell ref="I7:I8"/>
    <mergeCell ref="J7:J8"/>
    <mergeCell ref="C7:C8"/>
    <mergeCell ref="D7:D8"/>
    <mergeCell ref="C6:E6"/>
    <mergeCell ref="L7:L8"/>
    <mergeCell ref="A23:A31"/>
    <mergeCell ref="M7:M8"/>
    <mergeCell ref="F6:H6"/>
  </mergeCells>
  <conditionalFormatting sqref="E31">
    <cfRule type="expression" dxfId="5" priority="8">
      <formula>E31="OK"</formula>
    </cfRule>
    <cfRule type="expression" dxfId="4" priority="7">
      <formula>E31&lt;&gt;"OK"</formula>
    </cfRule>
  </conditionalFormatting>
  <conditionalFormatting sqref="H31">
    <cfRule type="expression" dxfId="3" priority="3">
      <formula>H31&lt;&gt;"OK"</formula>
    </cfRule>
    <cfRule type="expression" dxfId="2" priority="4">
      <formula>H31="OK"</formula>
    </cfRule>
  </conditionalFormatting>
  <conditionalFormatting sqref="K24">
    <cfRule type="expression" dxfId="1" priority="1">
      <formula>K24&lt;&gt;"OK"</formula>
    </cfRule>
    <cfRule type="expression" dxfId="0" priority="2">
      <formula>K24="OK"</formula>
    </cfRule>
  </conditionalFormatting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K177"/>
  <sheetViews>
    <sheetView showGridLines="0" workbookViewId="0"/>
  </sheetViews>
  <sheetFormatPr defaultColWidth="8.7109375" defaultRowHeight="15" x14ac:dyDescent="0.2"/>
  <cols>
    <col min="1" max="1" width="12.140625" style="38" customWidth="1"/>
    <col min="2" max="2" width="7.7109375" style="38" customWidth="1"/>
    <col min="3" max="3" width="31.28515625" style="38" customWidth="1"/>
    <col min="4" max="6" width="8.7109375" style="38"/>
    <col min="7" max="10" width="13.28515625" style="38" customWidth="1"/>
    <col min="11" max="11" width="3.42578125" style="38" bestFit="1" customWidth="1"/>
    <col min="12" max="14" width="8.7109375" style="38"/>
    <col min="15" max="15" width="9.85546875" style="38" bestFit="1" customWidth="1"/>
    <col min="16" max="16384" width="8.7109375" style="38"/>
  </cols>
  <sheetData>
    <row r="1" spans="1:11" ht="23.25" x14ac:dyDescent="0.35">
      <c r="B1" s="199" t="s">
        <v>10</v>
      </c>
      <c r="C1" s="199"/>
      <c r="D1" s="199"/>
      <c r="E1" s="199"/>
    </row>
    <row r="2" spans="1:11" ht="15.6" customHeight="1" x14ac:dyDescent="0.35">
      <c r="A2" s="40"/>
      <c r="B2" s="41"/>
    </row>
    <row r="3" spans="1:11" ht="15.6" customHeight="1" x14ac:dyDescent="0.3">
      <c r="A3" s="39"/>
      <c r="B3" s="39"/>
      <c r="C3" s="43" t="s">
        <v>29</v>
      </c>
      <c r="F3" s="200" t="s">
        <v>73</v>
      </c>
      <c r="G3" s="200"/>
      <c r="H3" s="39"/>
      <c r="I3" s="39"/>
      <c r="J3" s="39"/>
      <c r="K3" s="39"/>
    </row>
    <row r="4" spans="1:11" ht="15.6" customHeight="1" x14ac:dyDescent="0.25">
      <c r="A4" s="39"/>
      <c r="B4" s="38">
        <v>1000</v>
      </c>
      <c r="C4" s="49" t="s">
        <v>57</v>
      </c>
      <c r="F4" s="109">
        <v>1</v>
      </c>
      <c r="G4" s="38" t="str">
        <f>VLOOKUP(1,LKMonth,2)</f>
        <v>January</v>
      </c>
      <c r="H4" s="38" t="str">
        <f>VLOOKUP(2,LKMonth,2)</f>
        <v>February</v>
      </c>
      <c r="I4" s="38" t="str">
        <f>VLOOKUP(3,LKMonth,2)</f>
        <v>March</v>
      </c>
      <c r="J4" s="38" t="s">
        <v>69</v>
      </c>
    </row>
    <row r="5" spans="1:11" ht="15.6" customHeight="1" x14ac:dyDescent="0.25">
      <c r="A5" s="39"/>
      <c r="B5" s="38">
        <v>1010</v>
      </c>
      <c r="C5" s="49" t="s">
        <v>0</v>
      </c>
      <c r="F5" s="109">
        <v>2</v>
      </c>
      <c r="G5" s="38" t="str">
        <f>VLOOKUP(4,LKMonth,2)</f>
        <v>April</v>
      </c>
      <c r="H5" s="38" t="str">
        <f>VLOOKUP(5,LKMonth,2)</f>
        <v>May</v>
      </c>
      <c r="I5" s="38" t="str">
        <f>VLOOKUP(6,LKMonth,2)</f>
        <v>June</v>
      </c>
      <c r="J5" s="38" t="s">
        <v>70</v>
      </c>
    </row>
    <row r="6" spans="1:11" ht="15.6" customHeight="1" x14ac:dyDescent="0.25">
      <c r="A6" s="39"/>
      <c r="B6" s="38">
        <v>1020</v>
      </c>
      <c r="C6" s="49" t="s">
        <v>58</v>
      </c>
      <c r="F6" s="109">
        <v>3</v>
      </c>
      <c r="G6" s="38" t="str">
        <f>VLOOKUP(7,LKMonth,2)</f>
        <v>July</v>
      </c>
      <c r="H6" s="38" t="str">
        <f>VLOOKUP(8,LKMonth,2)</f>
        <v>August</v>
      </c>
      <c r="I6" s="38" t="str">
        <f>VLOOKUP(9,LKMonth,2)</f>
        <v>September</v>
      </c>
      <c r="J6" s="38" t="s">
        <v>71</v>
      </c>
    </row>
    <row r="7" spans="1:11" ht="15.6" customHeight="1" x14ac:dyDescent="0.25">
      <c r="A7" s="39"/>
      <c r="C7" s="49"/>
      <c r="F7" s="109">
        <v>4</v>
      </c>
      <c r="G7" s="38" t="str">
        <f>VLOOKUP(10,LKMonth,2)</f>
        <v>October</v>
      </c>
      <c r="H7" s="38" t="str">
        <f>VLOOKUP(11,LKMonth,2)</f>
        <v>November</v>
      </c>
      <c r="I7" s="38" t="str">
        <f>VLOOKUP(12,LKMonth,2)</f>
        <v>December</v>
      </c>
      <c r="J7" s="38" t="s">
        <v>72</v>
      </c>
    </row>
    <row r="8" spans="1:11" ht="15.6" customHeight="1" x14ac:dyDescent="0.3">
      <c r="A8" s="39"/>
      <c r="B8" s="39"/>
      <c r="C8" s="43"/>
    </row>
    <row r="9" spans="1:11" ht="15.6" customHeight="1" x14ac:dyDescent="0.3">
      <c r="A9" s="39"/>
      <c r="B9" s="39"/>
      <c r="C9" s="43" t="s">
        <v>30</v>
      </c>
    </row>
    <row r="10" spans="1:11" ht="15.6" customHeight="1" x14ac:dyDescent="0.25">
      <c r="A10" s="39"/>
      <c r="B10" s="39"/>
      <c r="C10" s="98" t="s">
        <v>59</v>
      </c>
      <c r="F10" s="200" t="s">
        <v>74</v>
      </c>
      <c r="G10" s="200"/>
    </row>
    <row r="11" spans="1:11" ht="15.6" customHeight="1" x14ac:dyDescent="0.25">
      <c r="A11" s="39"/>
      <c r="B11" s="38">
        <v>4000</v>
      </c>
      <c r="C11" s="36" t="s">
        <v>81</v>
      </c>
      <c r="F11" s="109">
        <v>1</v>
      </c>
      <c r="G11" s="111" t="s">
        <v>18</v>
      </c>
      <c r="H11" s="109">
        <v>1</v>
      </c>
    </row>
    <row r="12" spans="1:11" ht="15.6" customHeight="1" x14ac:dyDescent="0.25">
      <c r="A12" s="39"/>
      <c r="B12" s="38">
        <v>4010</v>
      </c>
      <c r="C12" s="36" t="s">
        <v>60</v>
      </c>
      <c r="F12" s="109">
        <v>2</v>
      </c>
      <c r="G12" s="111" t="s">
        <v>19</v>
      </c>
      <c r="H12" s="109">
        <v>2</v>
      </c>
    </row>
    <row r="13" spans="1:11" ht="15.6" customHeight="1" x14ac:dyDescent="0.25">
      <c r="A13" s="39"/>
      <c r="B13" s="38">
        <v>4020</v>
      </c>
      <c r="C13" s="36" t="s">
        <v>87</v>
      </c>
      <c r="F13" s="109">
        <v>3</v>
      </c>
      <c r="G13" s="111" t="s">
        <v>20</v>
      </c>
      <c r="H13" s="109">
        <v>3</v>
      </c>
    </row>
    <row r="14" spans="1:11" ht="15.6" customHeight="1" x14ac:dyDescent="0.25">
      <c r="A14" s="39"/>
      <c r="F14" s="109">
        <v>4</v>
      </c>
      <c r="G14" s="111" t="s">
        <v>21</v>
      </c>
      <c r="H14" s="109">
        <v>4</v>
      </c>
    </row>
    <row r="15" spans="1:11" ht="15.6" customHeight="1" x14ac:dyDescent="0.25">
      <c r="A15" s="39"/>
      <c r="C15" s="98" t="s">
        <v>67</v>
      </c>
      <c r="F15" s="109">
        <v>5</v>
      </c>
      <c r="G15" s="111" t="s">
        <v>22</v>
      </c>
      <c r="H15" s="109">
        <v>5</v>
      </c>
    </row>
    <row r="16" spans="1:11" ht="15.6" customHeight="1" x14ac:dyDescent="0.25">
      <c r="A16" s="39"/>
      <c r="B16" s="38">
        <v>5000</v>
      </c>
      <c r="C16" s="37" t="s">
        <v>43</v>
      </c>
      <c r="F16" s="109">
        <v>6</v>
      </c>
      <c r="G16" s="111" t="s">
        <v>23</v>
      </c>
      <c r="H16" s="109">
        <v>6</v>
      </c>
    </row>
    <row r="17" spans="1:8" ht="15.6" customHeight="1" x14ac:dyDescent="0.25">
      <c r="A17" s="39"/>
      <c r="B17" s="38">
        <v>5010</v>
      </c>
      <c r="C17" s="37" t="s">
        <v>61</v>
      </c>
      <c r="F17" s="109">
        <v>7</v>
      </c>
      <c r="G17" s="111" t="s">
        <v>24</v>
      </c>
      <c r="H17" s="109">
        <v>7</v>
      </c>
    </row>
    <row r="18" spans="1:8" ht="15.6" customHeight="1" x14ac:dyDescent="0.25">
      <c r="A18" s="39"/>
      <c r="B18" s="38">
        <v>5020</v>
      </c>
      <c r="C18" s="37" t="s">
        <v>64</v>
      </c>
      <c r="F18" s="109">
        <v>8</v>
      </c>
      <c r="G18" s="111" t="s">
        <v>25</v>
      </c>
      <c r="H18" s="109">
        <v>8</v>
      </c>
    </row>
    <row r="19" spans="1:8" ht="15.6" customHeight="1" x14ac:dyDescent="0.25">
      <c r="A19" s="39"/>
      <c r="B19" s="38">
        <v>5050</v>
      </c>
      <c r="C19" s="37" t="s">
        <v>82</v>
      </c>
      <c r="F19" s="109">
        <v>9</v>
      </c>
      <c r="G19" s="111" t="s">
        <v>26</v>
      </c>
      <c r="H19" s="109">
        <v>9</v>
      </c>
    </row>
    <row r="20" spans="1:8" ht="15.6" customHeight="1" x14ac:dyDescent="0.25">
      <c r="A20" s="39"/>
      <c r="C20" s="37"/>
      <c r="F20" s="109">
        <v>10</v>
      </c>
      <c r="G20" s="111" t="s">
        <v>27</v>
      </c>
      <c r="H20" s="109">
        <v>10</v>
      </c>
    </row>
    <row r="21" spans="1:8" ht="15.6" customHeight="1" x14ac:dyDescent="0.25">
      <c r="A21" s="39"/>
      <c r="C21" s="37"/>
      <c r="F21" s="109">
        <v>11</v>
      </c>
      <c r="G21" s="111" t="s">
        <v>16</v>
      </c>
      <c r="H21" s="109">
        <v>11</v>
      </c>
    </row>
    <row r="22" spans="1:8" ht="15.6" customHeight="1" x14ac:dyDescent="0.25">
      <c r="A22" s="39"/>
      <c r="C22" s="37"/>
      <c r="F22" s="109">
        <v>12</v>
      </c>
      <c r="G22" s="111" t="s">
        <v>28</v>
      </c>
      <c r="H22" s="109">
        <v>12</v>
      </c>
    </row>
    <row r="23" spans="1:8" ht="15.6" customHeight="1" x14ac:dyDescent="0.25">
      <c r="A23" s="39"/>
    </row>
    <row r="24" spans="1:8" ht="15.6" customHeight="1" x14ac:dyDescent="0.25">
      <c r="A24" s="39"/>
      <c r="B24" s="39"/>
      <c r="C24" s="17"/>
    </row>
    <row r="25" spans="1:8" ht="15.6" customHeight="1" x14ac:dyDescent="0.2">
      <c r="C25" s="37"/>
    </row>
    <row r="26" spans="1:8" ht="15.6" customHeight="1" x14ac:dyDescent="0.2">
      <c r="C26" s="37"/>
    </row>
    <row r="27" spans="1:8" ht="15.6" customHeight="1" x14ac:dyDescent="0.2">
      <c r="C27" s="37"/>
    </row>
    <row r="28" spans="1:8" ht="15.6" customHeight="1" x14ac:dyDescent="0.25">
      <c r="B28" s="39"/>
      <c r="C28" s="17"/>
    </row>
    <row r="29" spans="1:8" ht="15.6" customHeight="1" x14ac:dyDescent="0.2">
      <c r="C29" s="37"/>
    </row>
    <row r="30" spans="1:8" ht="15.6" customHeight="1" x14ac:dyDescent="0.2">
      <c r="C30" s="37"/>
    </row>
    <row r="31" spans="1:8" ht="15.6" customHeight="1" x14ac:dyDescent="0.25">
      <c r="B31" s="39"/>
      <c r="C31" s="17"/>
    </row>
    <row r="32" spans="1:8" ht="15.6" customHeight="1" x14ac:dyDescent="0.2">
      <c r="C32" s="37"/>
    </row>
    <row r="33" spans="3:6" ht="15.6" customHeight="1" x14ac:dyDescent="0.2">
      <c r="C33" s="37"/>
    </row>
    <row r="34" spans="3:6" ht="15.6" customHeight="1" x14ac:dyDescent="0.2">
      <c r="C34" s="37"/>
    </row>
    <row r="35" spans="3:6" ht="15.6" customHeight="1" x14ac:dyDescent="0.2">
      <c r="C35" s="37"/>
    </row>
    <row r="36" spans="3:6" ht="15.6" customHeight="1" x14ac:dyDescent="0.2">
      <c r="C36" s="37"/>
    </row>
    <row r="37" spans="3:6" ht="15.6" customHeight="1" x14ac:dyDescent="0.2">
      <c r="C37" s="37"/>
    </row>
    <row r="38" spans="3:6" ht="15.6" customHeight="1" x14ac:dyDescent="0.2">
      <c r="C38" s="37"/>
    </row>
    <row r="39" spans="3:6" ht="15.6" customHeight="1" x14ac:dyDescent="0.2">
      <c r="C39" s="37"/>
      <c r="F39" s="42"/>
    </row>
    <row r="40" spans="3:6" ht="15.6" customHeight="1" x14ac:dyDescent="0.2">
      <c r="C40" s="37"/>
    </row>
    <row r="41" spans="3:6" ht="15.6" customHeight="1" x14ac:dyDescent="0.2">
      <c r="C41" s="37"/>
    </row>
    <row r="42" spans="3:6" ht="15.6" customHeight="1" x14ac:dyDescent="0.2">
      <c r="C42" s="37"/>
    </row>
    <row r="43" spans="3:6" ht="15.6" customHeight="1" x14ac:dyDescent="0.2">
      <c r="C43" s="37"/>
    </row>
    <row r="44" spans="3:6" ht="15.6" customHeight="1" x14ac:dyDescent="0.2">
      <c r="C44" s="37"/>
    </row>
    <row r="45" spans="3:6" ht="15.6" customHeight="1" x14ac:dyDescent="0.2">
      <c r="C45" s="37"/>
    </row>
    <row r="46" spans="3:6" ht="15.6" customHeight="1" x14ac:dyDescent="0.2">
      <c r="C46" s="37"/>
    </row>
    <row r="47" spans="3:6" ht="15.6" customHeight="1" x14ac:dyDescent="0.2">
      <c r="C47" s="37"/>
    </row>
    <row r="48" spans="3:6" ht="15.6" customHeight="1" x14ac:dyDescent="0.25">
      <c r="C48" s="37"/>
      <c r="E48" s="39"/>
      <c r="F48" s="42"/>
    </row>
    <row r="49" spans="1:4" ht="15.6" customHeight="1" x14ac:dyDescent="0.2">
      <c r="C49" s="37"/>
    </row>
    <row r="50" spans="1:4" ht="15.6" customHeight="1" x14ac:dyDescent="0.2">
      <c r="C50" s="37"/>
    </row>
    <row r="51" spans="1:4" ht="15.6" customHeight="1" x14ac:dyDescent="0.2">
      <c r="C51" s="37"/>
    </row>
    <row r="52" spans="1:4" ht="15.6" customHeight="1" x14ac:dyDescent="0.2"/>
    <row r="53" spans="1:4" ht="15.6" customHeight="1" x14ac:dyDescent="0.25">
      <c r="B53" s="39"/>
      <c r="C53" s="17"/>
    </row>
    <row r="54" spans="1:4" ht="15.6" customHeight="1" x14ac:dyDescent="0.25">
      <c r="B54" s="39"/>
      <c r="C54" s="17"/>
    </row>
    <row r="55" spans="1:4" ht="15.6" customHeight="1" x14ac:dyDescent="0.25">
      <c r="A55" s="39"/>
      <c r="C55" s="37"/>
      <c r="D55" s="38" t="s">
        <v>12</v>
      </c>
    </row>
    <row r="56" spans="1:4" ht="15.6" customHeight="1" x14ac:dyDescent="0.25">
      <c r="A56" s="39"/>
      <c r="C56" s="37"/>
    </row>
    <row r="57" spans="1:4" ht="15.6" customHeight="1" x14ac:dyDescent="0.25">
      <c r="A57" s="39"/>
      <c r="C57" s="37"/>
    </row>
    <row r="58" spans="1:4" ht="15.6" customHeight="1" x14ac:dyDescent="0.25">
      <c r="A58" s="39"/>
      <c r="C58" s="37"/>
    </row>
    <row r="59" spans="1:4" ht="15.6" customHeight="1" x14ac:dyDescent="0.25">
      <c r="A59" s="39"/>
      <c r="C59" s="37"/>
    </row>
    <row r="60" spans="1:4" ht="15.6" customHeight="1" x14ac:dyDescent="0.25">
      <c r="A60" s="39"/>
      <c r="C60" s="17"/>
    </row>
    <row r="61" spans="1:4" ht="15.6" customHeight="1" x14ac:dyDescent="0.25">
      <c r="A61" s="39"/>
      <c r="C61" s="37"/>
    </row>
    <row r="62" spans="1:4" ht="15.6" customHeight="1" x14ac:dyDescent="0.25">
      <c r="A62" s="39"/>
      <c r="C62" s="37"/>
    </row>
    <row r="63" spans="1:4" ht="15.6" customHeight="1" x14ac:dyDescent="0.25">
      <c r="A63" s="39"/>
      <c r="C63" s="37"/>
    </row>
    <row r="64" spans="1:4" ht="15.6" customHeight="1" x14ac:dyDescent="0.25">
      <c r="A64" s="39"/>
      <c r="C64" s="37"/>
    </row>
    <row r="65" spans="1:3" ht="15.6" customHeight="1" x14ac:dyDescent="0.25">
      <c r="A65" s="39"/>
      <c r="C65" s="37"/>
    </row>
    <row r="66" spans="1:3" ht="15.6" customHeight="1" x14ac:dyDescent="0.25">
      <c r="A66" s="39"/>
      <c r="C66" s="37"/>
    </row>
    <row r="67" spans="1:3" ht="15.6" customHeight="1" x14ac:dyDescent="0.25">
      <c r="A67" s="39"/>
      <c r="C67" s="17"/>
    </row>
    <row r="68" spans="1:3" ht="15.6" customHeight="1" x14ac:dyDescent="0.25">
      <c r="A68" s="39"/>
      <c r="C68" s="37"/>
    </row>
    <row r="69" spans="1:3" ht="15.6" customHeight="1" x14ac:dyDescent="0.25">
      <c r="A69" s="39"/>
      <c r="C69" s="37"/>
    </row>
    <row r="70" spans="1:3" ht="15.6" customHeight="1" x14ac:dyDescent="0.25">
      <c r="A70" s="39"/>
      <c r="C70" s="37"/>
    </row>
    <row r="71" spans="1:3" ht="15.6" customHeight="1" x14ac:dyDescent="0.25">
      <c r="A71" s="39"/>
      <c r="C71" s="37"/>
    </row>
    <row r="72" spans="1:3" ht="15.6" customHeight="1" x14ac:dyDescent="0.25">
      <c r="A72" s="39"/>
      <c r="C72" s="37"/>
    </row>
    <row r="73" spans="1:3" ht="15.6" customHeight="1" x14ac:dyDescent="0.25">
      <c r="A73" s="39"/>
      <c r="C73" s="17"/>
    </row>
    <row r="74" spans="1:3" ht="15.6" customHeight="1" x14ac:dyDescent="0.25">
      <c r="A74" s="39"/>
      <c r="C74" s="37"/>
    </row>
    <row r="75" spans="1:3" ht="15.6" customHeight="1" x14ac:dyDescent="0.25">
      <c r="A75" s="39"/>
      <c r="C75" s="37"/>
    </row>
    <row r="76" spans="1:3" ht="15.6" customHeight="1" x14ac:dyDescent="0.25">
      <c r="A76" s="39"/>
      <c r="B76" s="39"/>
      <c r="C76" s="17"/>
    </row>
    <row r="77" spans="1:3" ht="15.6" customHeight="1" x14ac:dyDescent="0.25">
      <c r="A77" s="39"/>
      <c r="C77" s="37"/>
    </row>
    <row r="78" spans="1:3" ht="15.6" customHeight="1" x14ac:dyDescent="0.25">
      <c r="A78" s="39"/>
      <c r="C78" s="37"/>
    </row>
    <row r="79" spans="1:3" ht="15.6" customHeight="1" x14ac:dyDescent="0.25">
      <c r="A79" s="39"/>
      <c r="C79" s="37"/>
    </row>
    <row r="80" spans="1:3" ht="15.6" customHeight="1" x14ac:dyDescent="0.25">
      <c r="A80" s="39"/>
      <c r="C80" s="37"/>
    </row>
    <row r="81" spans="1:4" ht="15.6" customHeight="1" x14ac:dyDescent="0.25">
      <c r="A81" s="39"/>
      <c r="C81" s="37"/>
    </row>
    <row r="82" spans="1:4" ht="15.6" customHeight="1" x14ac:dyDescent="0.25">
      <c r="A82" s="39"/>
      <c r="C82" s="37"/>
    </row>
    <row r="83" spans="1:4" ht="15.6" customHeight="1" x14ac:dyDescent="0.25">
      <c r="A83" s="39"/>
      <c r="C83" s="37"/>
    </row>
    <row r="84" spans="1:4" ht="15.6" customHeight="1" x14ac:dyDescent="0.25">
      <c r="A84" s="39"/>
      <c r="C84" s="17"/>
    </row>
    <row r="85" spans="1:4" ht="15.6" customHeight="1" x14ac:dyDescent="0.25">
      <c r="A85" s="39"/>
      <c r="B85" s="39"/>
      <c r="C85" s="17"/>
    </row>
    <row r="86" spans="1:4" ht="15.6" customHeight="1" x14ac:dyDescent="0.25">
      <c r="A86" s="39"/>
      <c r="C86" s="37"/>
      <c r="D86" s="38" t="s">
        <v>11</v>
      </c>
    </row>
    <row r="87" spans="1:4" ht="15.6" customHeight="1" x14ac:dyDescent="0.25">
      <c r="A87" s="39"/>
      <c r="C87" s="37"/>
    </row>
    <row r="88" spans="1:4" ht="15.6" customHeight="1" x14ac:dyDescent="0.25">
      <c r="A88" s="39"/>
      <c r="C88" s="37"/>
    </row>
    <row r="89" spans="1:4" ht="15.6" customHeight="1" x14ac:dyDescent="0.25">
      <c r="A89" s="39"/>
      <c r="C89" s="37"/>
    </row>
    <row r="90" spans="1:4" ht="15.6" customHeight="1" x14ac:dyDescent="0.25">
      <c r="A90" s="39"/>
      <c r="C90" s="17"/>
    </row>
    <row r="91" spans="1:4" ht="15.6" customHeight="1" x14ac:dyDescent="0.25">
      <c r="A91" s="39"/>
      <c r="C91" s="37"/>
    </row>
    <row r="92" spans="1:4" ht="15.6" customHeight="1" x14ac:dyDescent="0.25">
      <c r="A92" s="39"/>
      <c r="C92" s="37"/>
      <c r="D92" s="37"/>
    </row>
    <row r="93" spans="1:4" ht="15.6" customHeight="1" x14ac:dyDescent="0.25">
      <c r="A93" s="39"/>
      <c r="C93" s="37"/>
      <c r="D93" s="37"/>
    </row>
    <row r="94" spans="1:4" ht="15.6" customHeight="1" x14ac:dyDescent="0.25">
      <c r="A94" s="39"/>
      <c r="C94" s="37"/>
      <c r="D94" s="37"/>
    </row>
    <row r="95" spans="1:4" ht="15.6" customHeight="1" x14ac:dyDescent="0.25">
      <c r="A95" s="39"/>
      <c r="C95" s="37"/>
      <c r="D95" s="37"/>
    </row>
    <row r="96" spans="1:4" ht="15.6" customHeight="1" x14ac:dyDescent="0.25">
      <c r="A96" s="39"/>
      <c r="C96" s="17"/>
    </row>
    <row r="97" spans="1:11" ht="15.6" customHeight="1" x14ac:dyDescent="0.25">
      <c r="A97" s="39"/>
      <c r="C97" s="37"/>
    </row>
    <row r="98" spans="1:11" ht="15.6" customHeight="1" x14ac:dyDescent="0.25">
      <c r="A98" s="39"/>
      <c r="C98" s="37"/>
    </row>
    <row r="99" spans="1:11" ht="15.6" customHeight="1" x14ac:dyDescent="0.25">
      <c r="A99" s="39"/>
      <c r="C99" s="37"/>
      <c r="G99" s="37"/>
      <c r="H99" s="37"/>
      <c r="I99" s="37"/>
      <c r="J99" s="37"/>
      <c r="K99" s="37"/>
    </row>
    <row r="100" spans="1:11" ht="15.6" customHeight="1" x14ac:dyDescent="0.25">
      <c r="A100" s="39"/>
      <c r="B100" s="39"/>
      <c r="C100" s="17"/>
      <c r="G100" s="37"/>
      <c r="H100" s="37"/>
      <c r="I100" s="37"/>
      <c r="J100" s="37"/>
      <c r="K100" s="37"/>
    </row>
    <row r="101" spans="1:11" ht="15.6" customHeight="1" x14ac:dyDescent="0.25">
      <c r="A101" s="39"/>
      <c r="C101" s="37"/>
      <c r="G101" s="37"/>
      <c r="H101" s="37"/>
      <c r="I101" s="37"/>
      <c r="J101" s="37"/>
      <c r="K101" s="37"/>
    </row>
    <row r="102" spans="1:11" ht="15.6" customHeight="1" x14ac:dyDescent="0.25">
      <c r="A102" s="39"/>
      <c r="C102" s="37"/>
      <c r="F102" s="17"/>
      <c r="G102" s="37"/>
      <c r="H102" s="37"/>
      <c r="I102" s="37"/>
      <c r="J102" s="37"/>
      <c r="K102" s="37"/>
    </row>
    <row r="103" spans="1:11" ht="15.6" customHeight="1" x14ac:dyDescent="0.25">
      <c r="A103" s="39"/>
      <c r="C103" s="37"/>
      <c r="F103" s="37"/>
      <c r="G103" s="37"/>
      <c r="H103" s="37"/>
      <c r="I103" s="37"/>
      <c r="J103" s="37"/>
      <c r="K103" s="37"/>
    </row>
    <row r="104" spans="1:11" ht="15.6" customHeight="1" x14ac:dyDescent="0.25">
      <c r="A104" s="39"/>
      <c r="C104" s="37"/>
      <c r="F104" s="37"/>
      <c r="G104" s="37"/>
      <c r="H104" s="37"/>
      <c r="I104" s="37"/>
      <c r="J104" s="37"/>
      <c r="K104" s="37"/>
    </row>
    <row r="105" spans="1:11" ht="15.6" customHeight="1" x14ac:dyDescent="0.25">
      <c r="A105" s="39"/>
      <c r="B105" s="39"/>
      <c r="C105" s="17"/>
      <c r="F105" s="37"/>
      <c r="G105" s="37"/>
      <c r="H105" s="37"/>
      <c r="I105" s="37"/>
      <c r="J105" s="37"/>
      <c r="K105" s="37"/>
    </row>
    <row r="106" spans="1:11" ht="15.6" customHeight="1" x14ac:dyDescent="0.25">
      <c r="A106" s="39"/>
      <c r="C106" s="37"/>
      <c r="F106" s="37"/>
      <c r="G106" s="37"/>
      <c r="H106" s="37"/>
      <c r="I106" s="37"/>
      <c r="J106" s="37"/>
      <c r="K106" s="37"/>
    </row>
    <row r="107" spans="1:11" ht="15.6" customHeight="1" x14ac:dyDescent="0.25">
      <c r="A107" s="39"/>
      <c r="C107" s="37"/>
      <c r="F107" s="37"/>
      <c r="G107" s="37"/>
      <c r="H107" s="37"/>
      <c r="I107" s="37"/>
      <c r="J107" s="37"/>
      <c r="K107" s="37"/>
    </row>
    <row r="108" spans="1:11" ht="15.6" customHeight="1" x14ac:dyDescent="0.25">
      <c r="A108" s="39"/>
      <c r="C108" s="37"/>
      <c r="F108" s="37"/>
      <c r="G108" s="37"/>
      <c r="H108" s="37"/>
      <c r="I108" s="37"/>
      <c r="J108" s="37"/>
      <c r="K108" s="37"/>
    </row>
    <row r="109" spans="1:11" ht="15.6" customHeight="1" x14ac:dyDescent="0.25">
      <c r="A109" s="39"/>
      <c r="B109" s="56"/>
      <c r="C109" s="17"/>
    </row>
    <row r="110" spans="1:11" ht="15.6" customHeight="1" x14ac:dyDescent="0.25">
      <c r="A110" s="39"/>
      <c r="C110" s="42"/>
    </row>
    <row r="111" spans="1:11" x14ac:dyDescent="0.2">
      <c r="C111" s="37"/>
    </row>
    <row r="112" spans="1:11" x14ac:dyDescent="0.2">
      <c r="C112" s="37"/>
    </row>
    <row r="113" spans="2:4" ht="15.75" x14ac:dyDescent="0.25">
      <c r="B113" s="39"/>
      <c r="C113" s="42"/>
    </row>
    <row r="114" spans="2:4" x14ac:dyDescent="0.2">
      <c r="C114" s="37"/>
    </row>
    <row r="115" spans="2:4" x14ac:dyDescent="0.2">
      <c r="C115" s="37"/>
    </row>
    <row r="116" spans="2:4" x14ac:dyDescent="0.2">
      <c r="C116" s="37"/>
    </row>
    <row r="117" spans="2:4" x14ac:dyDescent="0.2">
      <c r="C117" s="37"/>
    </row>
    <row r="118" spans="2:4" ht="15.75" x14ac:dyDescent="0.25">
      <c r="B118" s="39"/>
      <c r="C118" s="42"/>
    </row>
    <row r="119" spans="2:4" x14ac:dyDescent="0.2">
      <c r="C119" s="37"/>
    </row>
    <row r="120" spans="2:4" x14ac:dyDescent="0.2">
      <c r="C120" s="37"/>
    </row>
    <row r="121" spans="2:4" x14ac:dyDescent="0.2">
      <c r="C121" s="37"/>
    </row>
    <row r="122" spans="2:4" x14ac:dyDescent="0.2">
      <c r="C122" s="37"/>
    </row>
    <row r="123" spans="2:4" x14ac:dyDescent="0.2">
      <c r="C123" s="37"/>
      <c r="D123" s="38" t="s">
        <v>56</v>
      </c>
    </row>
    <row r="124" spans="2:4" x14ac:dyDescent="0.2">
      <c r="C124" s="37"/>
    </row>
    <row r="125" spans="2:4" x14ac:dyDescent="0.2">
      <c r="C125" s="37"/>
    </row>
    <row r="126" spans="2:4" ht="15.75" x14ac:dyDescent="0.2">
      <c r="C126" s="42"/>
    </row>
    <row r="127" spans="2:4" x14ac:dyDescent="0.2">
      <c r="C127" s="37"/>
    </row>
    <row r="128" spans="2:4" x14ac:dyDescent="0.2">
      <c r="C128" s="37"/>
    </row>
    <row r="129" spans="3:3" x14ac:dyDescent="0.2">
      <c r="C129" s="37"/>
    </row>
    <row r="130" spans="3:3" x14ac:dyDescent="0.2">
      <c r="C130" s="37"/>
    </row>
    <row r="131" spans="3:3" x14ac:dyDescent="0.2">
      <c r="C131" s="37"/>
    </row>
    <row r="132" spans="3:3" x14ac:dyDescent="0.2">
      <c r="C132" s="37"/>
    </row>
    <row r="133" spans="3:3" x14ac:dyDescent="0.2">
      <c r="C133" s="37"/>
    </row>
    <row r="134" spans="3:3" x14ac:dyDescent="0.2">
      <c r="C134" s="37"/>
    </row>
    <row r="135" spans="3:3" x14ac:dyDescent="0.2">
      <c r="C135" s="37"/>
    </row>
    <row r="136" spans="3:3" ht="15.75" x14ac:dyDescent="0.2">
      <c r="C136" s="17"/>
    </row>
    <row r="137" spans="3:3" ht="15.75" x14ac:dyDescent="0.2">
      <c r="C137" s="42"/>
    </row>
    <row r="138" spans="3:3" x14ac:dyDescent="0.2">
      <c r="C138" s="37"/>
    </row>
    <row r="139" spans="3:3" x14ac:dyDescent="0.2">
      <c r="C139" s="37"/>
    </row>
    <row r="140" spans="3:3" ht="15.75" x14ac:dyDescent="0.2">
      <c r="C140" s="42"/>
    </row>
    <row r="141" spans="3:3" x14ac:dyDescent="0.2">
      <c r="C141" s="37"/>
    </row>
    <row r="142" spans="3:3" x14ac:dyDescent="0.2">
      <c r="C142" s="37"/>
    </row>
    <row r="143" spans="3:3" x14ac:dyDescent="0.2">
      <c r="C143" s="37"/>
    </row>
    <row r="144" spans="3:3" ht="15.75" x14ac:dyDescent="0.2">
      <c r="C144" s="42"/>
    </row>
    <row r="145" spans="3:3" x14ac:dyDescent="0.2">
      <c r="C145" s="37"/>
    </row>
    <row r="146" spans="3:3" x14ac:dyDescent="0.2">
      <c r="C146" s="37"/>
    </row>
    <row r="147" spans="3:3" x14ac:dyDescent="0.2">
      <c r="C147" s="37"/>
    </row>
    <row r="148" spans="3:3" x14ac:dyDescent="0.2">
      <c r="C148" s="37"/>
    </row>
    <row r="149" spans="3:3" x14ac:dyDescent="0.2">
      <c r="C149" s="37"/>
    </row>
    <row r="150" spans="3:3" x14ac:dyDescent="0.2">
      <c r="C150" s="37"/>
    </row>
    <row r="151" spans="3:3" ht="15.75" x14ac:dyDescent="0.2">
      <c r="C151" s="17"/>
    </row>
    <row r="152" spans="3:3" x14ac:dyDescent="0.2">
      <c r="C152" s="37"/>
    </row>
    <row r="153" spans="3:3" x14ac:dyDescent="0.2">
      <c r="C153" s="37"/>
    </row>
    <row r="154" spans="3:3" x14ac:dyDescent="0.2">
      <c r="C154" s="37"/>
    </row>
    <row r="155" spans="3:3" x14ac:dyDescent="0.2">
      <c r="C155" s="37"/>
    </row>
    <row r="156" spans="3:3" x14ac:dyDescent="0.2">
      <c r="C156" s="37"/>
    </row>
    <row r="157" spans="3:3" x14ac:dyDescent="0.2">
      <c r="C157" s="37"/>
    </row>
    <row r="158" spans="3:3" x14ac:dyDescent="0.2">
      <c r="C158" s="37"/>
    </row>
    <row r="159" spans="3:3" x14ac:dyDescent="0.2">
      <c r="C159" s="37"/>
    </row>
    <row r="160" spans="3:3" x14ac:dyDescent="0.2">
      <c r="C160" s="37"/>
    </row>
    <row r="161" spans="3:3" x14ac:dyDescent="0.2">
      <c r="C161" s="37"/>
    </row>
    <row r="162" spans="3:3" ht="15.75" x14ac:dyDescent="0.2">
      <c r="C162" s="17"/>
    </row>
    <row r="163" spans="3:3" x14ac:dyDescent="0.2">
      <c r="C163" s="37"/>
    </row>
    <row r="164" spans="3:3" x14ac:dyDescent="0.2">
      <c r="C164" s="37"/>
    </row>
    <row r="165" spans="3:3" x14ac:dyDescent="0.2">
      <c r="C165" s="37"/>
    </row>
    <row r="168" spans="3:3" x14ac:dyDescent="0.2">
      <c r="C168" s="37"/>
    </row>
    <row r="172" spans="3:3" ht="15.75" x14ac:dyDescent="0.2">
      <c r="C172" s="17"/>
    </row>
    <row r="173" spans="3:3" ht="15.75" x14ac:dyDescent="0.2">
      <c r="C173" s="17"/>
    </row>
    <row r="175" spans="3:3" x14ac:dyDescent="0.2">
      <c r="C175" s="37"/>
    </row>
    <row r="177" spans="3:3" ht="15.75" x14ac:dyDescent="0.2">
      <c r="C177" s="17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01"/>
      <c r="C8" s="202"/>
      <c r="D8" s="203"/>
      <c r="E8" s="91"/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01" t="s">
        <v>50</v>
      </c>
      <c r="C8" s="202"/>
      <c r="D8" s="203"/>
      <c r="E8" s="91">
        <v>350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A1:G1"/>
    <mergeCell ref="A2:G2"/>
    <mergeCell ref="B6:D7"/>
    <mergeCell ref="F6:F7"/>
    <mergeCell ref="G6:G7"/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01" t="s">
        <v>51</v>
      </c>
      <c r="C8" s="202"/>
      <c r="D8" s="203"/>
      <c r="E8" s="91">
        <v>700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01" t="s">
        <v>52</v>
      </c>
      <c r="C8" s="202"/>
      <c r="D8" s="203"/>
      <c r="E8" s="91">
        <v>290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JakeNetAdmin</cp:lastModifiedBy>
  <cp:lastPrinted>2021-01-29T19:46:17Z</cp:lastPrinted>
  <dcterms:created xsi:type="dcterms:W3CDTF">2013-11-11T13:58:06Z</dcterms:created>
  <dcterms:modified xsi:type="dcterms:W3CDTF">2021-02-09T23:38:47Z</dcterms:modified>
</cp:coreProperties>
</file>